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binet\2020\10\ELŐTERJESZTÉSEK_RENDES ÜLÉSRE_10.29\Költségvetési rendelet\"/>
    </mc:Choice>
  </mc:AlternateContent>
  <xr:revisionPtr revIDLastSave="0" documentId="8_{3558C917-A977-41DE-8E42-6BF87960AA1B}" xr6:coauthVersionLast="45" xr6:coauthVersionMax="45" xr10:uidLastSave="{00000000-0000-0000-0000-000000000000}"/>
  <bookViews>
    <workbookView xWindow="-120" yWindow="-120" windowWidth="20730" windowHeight="11160" tabRatio="816" firstSheet="1" activeTab="1" xr2:uid="{00000000-000D-0000-FFFF-FFFF00000000}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r:id="rId17"/>
    <sheet name="8.3. sz. mell." sheetId="1424" state="hidden" r:id="rId18"/>
    <sheet name="8.4. sz. mell." sheetId="1425" r:id="rId19"/>
    <sheet name="8.5. sz. mell." sheetId="1426" state="hidden" r:id="rId20"/>
    <sheet name="8.6. sz. mell." sheetId="1461" r:id="rId21"/>
    <sheet name="9.1. sz. mell." sheetId="1427" r:id="rId22"/>
    <sheet name="9.1.1. sz. mell. " sheetId="1428" r:id="rId23"/>
    <sheet name="9.1.2. sz. mell." sheetId="1429" state="hidden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34" state="hidden" r:id="rId29"/>
    <sheet name="9.3.1. sz. mell EOI" sheetId="1435" state="hidden" r:id="rId30"/>
    <sheet name="9.3.2.sz.mell EOI" sheetId="1436" state="hidden" r:id="rId31"/>
    <sheet name="9.4. sz. mell EKIK" sheetId="1437" r:id="rId32"/>
    <sheet name="9.4.1. sz. mell EKIK" sheetId="1438" r:id="rId33"/>
    <sheet name="9.4.2. sz. mell EKIK" sheetId="1439" state="hidden" r:id="rId34"/>
    <sheet name="9.5. sz. mell VK" sheetId="1440" r:id="rId35"/>
    <sheet name="9.5.1. sz. mell VK " sheetId="1441" r:id="rId36"/>
    <sheet name="9.5.2. sz. mell VK" sheetId="1442" state="hidden" r:id="rId37"/>
    <sheet name="9.6. sz. mell Kornisné Kp." sheetId="1443" r:id="rId38"/>
    <sheet name="9.6.1. sz. mell Kornisné Kp. " sheetId="1444" state="hidden" r:id="rId39"/>
    <sheet name="9.6.2. sz. mell Kornisné Kp." sheetId="1445" r:id="rId40"/>
    <sheet name="9.6.3. sz. mell Kornisné Kp " sheetId="1446" state="hidden" r:id="rId41"/>
    <sheet name="9.7. sz. mell TIB  " sheetId="1447" r:id="rId42"/>
    <sheet name="9.7.1. sz. mell TIB  " sheetId="1448" r:id="rId43"/>
    <sheet name="9.7.2. sz. mell TIB" sheetId="1449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 " sheetId="1460" state="hidden" r:id="rId55"/>
  </sheets>
  <externalReferences>
    <externalReference r:id="rId56"/>
    <externalReference r:id="rId57"/>
  </externalReference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50">'5.sz. tájékoztató'!$A$1:$C$49</definedName>
    <definedName name="_xlnm.Print_Area" localSheetId="12">'6.sz.mell.'!$A$1:$G$77</definedName>
    <definedName name="_xlnm.Print_Area" localSheetId="52">'7.sz táj. feladatos Önk. '!$A$1:$O$62</definedName>
    <definedName name="_xlnm.Print_Area" localSheetId="16">'8.2. sz. mell.'!$A$1:$E$45</definedName>
    <definedName name="_xlnm.Print_Area" localSheetId="21">'9.1. sz. mell.'!$A$1:$C$160</definedName>
    <definedName name="_xlnm.Print_Area" localSheetId="22">'9.1.1. sz. mell. '!$A$1:$C$159</definedName>
    <definedName name="_xlnm.Print_Area" localSheetId="24">'9.2. sz. mell. '!$A$1:$H$62</definedName>
    <definedName name="_xlnm.Print_Area" localSheetId="54">'9.sz tájékoztató '!$A$1:$E$31</definedName>
  </definedNames>
  <calcPr calcId="181029"/>
</workbook>
</file>

<file path=xl/calcChain.xml><?xml version="1.0" encoding="utf-8"?>
<calcChain xmlns="http://schemas.openxmlformats.org/spreadsheetml/2006/main">
  <c r="M8" i="1455" l="1"/>
  <c r="A1" i="1458"/>
  <c r="A1" i="1455"/>
  <c r="A1" i="1453"/>
  <c r="A1" i="1452"/>
  <c r="A1" i="1451"/>
  <c r="A1" i="1450"/>
  <c r="A1" i="1448"/>
  <c r="A1" i="1447"/>
  <c r="A1" i="1445"/>
  <c r="A1" i="1438"/>
  <c r="A1" i="1437"/>
  <c r="A1" i="1425"/>
  <c r="A1" i="1423"/>
  <c r="A1" i="1419"/>
  <c r="A1" i="1461"/>
  <c r="J12" i="1458"/>
  <c r="K32" i="1458"/>
  <c r="J32" i="1458"/>
  <c r="J49" i="1458"/>
  <c r="K49" i="1458"/>
  <c r="K22" i="1458"/>
  <c r="D14" i="1458"/>
  <c r="N18" i="1455"/>
  <c r="N19" i="1455"/>
  <c r="N23" i="1455"/>
  <c r="N20" i="1455"/>
  <c r="N26" i="1455"/>
  <c r="N24" i="1455"/>
  <c r="D24" i="1451"/>
  <c r="D14" i="1451"/>
  <c r="D28" i="1451"/>
  <c r="D32" i="1451"/>
  <c r="D45" i="1358" l="1"/>
  <c r="D45" i="1357"/>
  <c r="D53" i="1357"/>
  <c r="C119" i="1428"/>
  <c r="C119" i="1427"/>
  <c r="D124" i="1358"/>
  <c r="D124" i="1357"/>
  <c r="C8" i="1461"/>
  <c r="C9" i="1461"/>
  <c r="B17" i="1461"/>
  <c r="C17" i="1461" l="1"/>
  <c r="E17" i="1461" s="1"/>
  <c r="C18" i="1461"/>
  <c r="E8" i="1461"/>
  <c r="D23" i="1461"/>
  <c r="B23" i="1461"/>
  <c r="E22" i="1461"/>
  <c r="E21" i="1461"/>
  <c r="E20" i="1461"/>
  <c r="E19" i="1461"/>
  <c r="E16" i="1461"/>
  <c r="D13" i="1461"/>
  <c r="B13" i="1461"/>
  <c r="E12" i="1461"/>
  <c r="E11" i="1461"/>
  <c r="E10" i="1461"/>
  <c r="E9" i="1461"/>
  <c r="E7" i="1461"/>
  <c r="E6" i="1461"/>
  <c r="D45" i="1461"/>
  <c r="C45" i="1461"/>
  <c r="B45" i="1461"/>
  <c r="E44" i="1461"/>
  <c r="E43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C20" i="1425"/>
  <c r="C17" i="1425"/>
  <c r="C21" i="1425"/>
  <c r="C18" i="1425"/>
  <c r="C23" i="1461" l="1"/>
  <c r="E18" i="1461"/>
  <c r="E23" i="1461" s="1"/>
  <c r="C13" i="1461"/>
  <c r="E13" i="1461"/>
  <c r="E35" i="1461"/>
  <c r="E45" i="1461"/>
  <c r="C16" i="1423"/>
  <c r="C40" i="1423"/>
  <c r="C42" i="1423"/>
  <c r="F20" i="1420"/>
  <c r="F19" i="1420"/>
  <c r="B32" i="1419"/>
  <c r="E32" i="1419"/>
  <c r="E7" i="1419" s="1"/>
  <c r="E77" i="1419" s="1"/>
  <c r="F32" i="1419" l="1"/>
  <c r="G38" i="1419"/>
  <c r="H28" i="1453"/>
  <c r="C121" i="1428"/>
  <c r="C120" i="1428"/>
  <c r="C118" i="1428"/>
  <c r="C116" i="1428"/>
  <c r="C115" i="1428"/>
  <c r="C99" i="1428"/>
  <c r="C121" i="1427"/>
  <c r="C120" i="1427"/>
  <c r="C118" i="1427"/>
  <c r="C116" i="1427"/>
  <c r="C99" i="1427"/>
  <c r="D53" i="1358" l="1"/>
  <c r="D104" i="1357"/>
  <c r="D126" i="1358"/>
  <c r="D125" i="1358"/>
  <c r="D123" i="1358"/>
  <c r="D121" i="1358"/>
  <c r="D104" i="1358"/>
  <c r="D48" i="1358"/>
  <c r="D44" i="1358"/>
  <c r="D126" i="1357"/>
  <c r="D125" i="1357"/>
  <c r="D123" i="1357"/>
  <c r="D121" i="1357"/>
  <c r="D48" i="1357"/>
  <c r="D44" i="1357"/>
  <c r="D42" i="1357" l="1"/>
  <c r="C98" i="1428"/>
  <c r="C97" i="1428"/>
  <c r="C31" i="1428"/>
  <c r="C30" i="1428"/>
  <c r="C24" i="1428"/>
  <c r="C23" i="1428"/>
  <c r="C115" i="1427"/>
  <c r="C98" i="1427"/>
  <c r="C97" i="1427"/>
  <c r="C31" i="1427"/>
  <c r="C30" i="1427"/>
  <c r="C24" i="1427"/>
  <c r="C23" i="1427"/>
  <c r="D120" i="1358"/>
  <c r="D103" i="1358"/>
  <c r="D102" i="1358"/>
  <c r="D33" i="1358"/>
  <c r="D32" i="1358"/>
  <c r="D26" i="1358"/>
  <c r="D25" i="1358"/>
  <c r="D120" i="1357"/>
  <c r="D103" i="1357"/>
  <c r="D102" i="1357"/>
  <c r="D33" i="1357"/>
  <c r="D32" i="1357"/>
  <c r="D26" i="1357"/>
  <c r="D25" i="1357"/>
  <c r="G60" i="1419" l="1"/>
  <c r="G59" i="1419"/>
  <c r="F57" i="1419"/>
  <c r="B57" i="1419"/>
  <c r="B12" i="1450"/>
  <c r="B10" i="1450"/>
  <c r="J12" i="1450"/>
  <c r="C14" i="1445"/>
  <c r="C14" i="1443"/>
  <c r="C15" i="1441"/>
  <c r="C12" i="1441"/>
  <c r="C11" i="1441"/>
  <c r="C15" i="1440"/>
  <c r="C12" i="1440"/>
  <c r="C11" i="1440"/>
  <c r="C54" i="1438"/>
  <c r="C42" i="1438"/>
  <c r="C24" i="1438"/>
  <c r="C54" i="1437"/>
  <c r="C42" i="1437"/>
  <c r="C24" i="1437"/>
  <c r="A1" i="1457" l="1"/>
  <c r="A1" i="1456"/>
  <c r="A1" i="1444"/>
  <c r="A1" i="1443"/>
  <c r="A1" i="1441"/>
  <c r="A1" i="1440"/>
  <c r="A1" i="1428"/>
  <c r="A1" i="1427"/>
  <c r="A1" i="1418"/>
  <c r="A1" i="1416"/>
  <c r="F1" i="1362"/>
  <c r="F1" i="1361"/>
  <c r="M26" i="1455"/>
  <c r="L26" i="1455"/>
  <c r="K26" i="1455"/>
  <c r="M25" i="1455"/>
  <c r="K23" i="1455"/>
  <c r="J23" i="1455"/>
  <c r="M20" i="1455"/>
  <c r="L20" i="1455"/>
  <c r="K20" i="1455"/>
  <c r="M19" i="1455"/>
  <c r="L19" i="1455"/>
  <c r="M18" i="1455"/>
  <c r="L18" i="1455"/>
  <c r="N15" i="1455"/>
  <c r="N11" i="1455"/>
  <c r="M11" i="1455"/>
  <c r="L11" i="1455"/>
  <c r="K11" i="1455"/>
  <c r="K9" i="1455"/>
  <c r="K8" i="1455"/>
  <c r="I7" i="1455"/>
  <c r="N7" i="1455"/>
  <c r="M7" i="1455"/>
  <c r="L7" i="1455"/>
  <c r="K7" i="1455"/>
  <c r="J7" i="1455"/>
  <c r="K21" i="1458"/>
  <c r="J21" i="1458"/>
  <c r="J59" i="1458"/>
  <c r="K46" i="1458"/>
  <c r="F59" i="1458"/>
  <c r="J35" i="1458"/>
  <c r="J54" i="1458"/>
  <c r="C54" i="1458"/>
  <c r="O49" i="1458"/>
  <c r="H49" i="1458"/>
  <c r="J37" i="1458"/>
  <c r="C14" i="1458"/>
  <c r="D32" i="1458"/>
  <c r="C32" i="1458"/>
  <c r="D21" i="1457"/>
  <c r="G30" i="1453"/>
  <c r="F30" i="1453"/>
  <c r="E30" i="1453"/>
  <c r="D30" i="1453"/>
  <c r="I28" i="1453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42" i="1431"/>
  <c r="C42" i="1430"/>
  <c r="C50" i="1431"/>
  <c r="C50" i="1430"/>
  <c r="C130" i="1428"/>
  <c r="C70" i="1428"/>
  <c r="C46" i="1428"/>
  <c r="C43" i="1428"/>
  <c r="C13" i="1428"/>
  <c r="C130" i="1427"/>
  <c r="C70" i="1427"/>
  <c r="C46" i="1427"/>
  <c r="C43" i="1427"/>
  <c r="C13" i="1427"/>
  <c r="D124" i="1359"/>
  <c r="D123" i="1359"/>
  <c r="D104" i="1359"/>
  <c r="D103" i="1359"/>
  <c r="D102" i="1359"/>
  <c r="D25" i="1359"/>
  <c r="D135" i="1358"/>
  <c r="D32" i="1359"/>
  <c r="D26" i="1359"/>
  <c r="D72" i="1358"/>
  <c r="D15" i="1358"/>
  <c r="H30" i="1453" l="1"/>
  <c r="D135" i="1357"/>
  <c r="D72" i="1357"/>
  <c r="D15" i="1357"/>
  <c r="C18" i="1423" l="1"/>
  <c r="C17" i="1423"/>
  <c r="C8" i="1423"/>
  <c r="F70" i="1419"/>
  <c r="B70" i="1419"/>
  <c r="B13" i="1450"/>
  <c r="C31" i="1445"/>
  <c r="C30" i="1445"/>
  <c r="C25" i="1445"/>
  <c r="C24" i="1445"/>
  <c r="C54" i="1445"/>
  <c r="C50" i="1445"/>
  <c r="C49" i="1445"/>
  <c r="C48" i="1445"/>
  <c r="C31" i="1443"/>
  <c r="C30" i="1443"/>
  <c r="C25" i="1443"/>
  <c r="C24" i="1443"/>
  <c r="C54" i="1443"/>
  <c r="C50" i="1443"/>
  <c r="C49" i="1443"/>
  <c r="C48" i="1443"/>
  <c r="C42" i="1440"/>
  <c r="C50" i="1440"/>
  <c r="C42" i="1441"/>
  <c r="C50" i="1441"/>
  <c r="A1" i="1357" l="1"/>
  <c r="D15" i="1420" l="1"/>
  <c r="B15" i="1420"/>
  <c r="J56" i="1458"/>
  <c r="K56" i="1458"/>
  <c r="K35" i="1458"/>
  <c r="K37" i="1458"/>
  <c r="J13" i="1458"/>
  <c r="J46" i="1458"/>
  <c r="J10" i="1458"/>
  <c r="K12" i="1458"/>
  <c r="K47" i="1458" l="1"/>
  <c r="J45" i="1458"/>
  <c r="C35" i="1458"/>
  <c r="I26" i="1455" l="1"/>
  <c r="I20" i="1455"/>
  <c r="K19" i="1455"/>
  <c r="K18" i="1455"/>
  <c r="C23" i="1429"/>
  <c r="C99" i="1429"/>
  <c r="C98" i="1429"/>
  <c r="C97" i="1429"/>
  <c r="C46" i="1456" l="1"/>
  <c r="C26" i="1456"/>
  <c r="C29" i="1456"/>
  <c r="C28" i="1456"/>
  <c r="C32" i="1456"/>
  <c r="C27" i="1456"/>
  <c r="C20" i="1456"/>
  <c r="C8" i="1456"/>
  <c r="E13" i="1443" l="1"/>
  <c r="A1" i="1435"/>
  <c r="A1" i="1434"/>
  <c r="A1" i="1433"/>
  <c r="A1" i="1431"/>
  <c r="A1" i="1430"/>
  <c r="A1" i="1429"/>
  <c r="A1" i="1422"/>
  <c r="A1" i="1421"/>
  <c r="A1" i="1420"/>
  <c r="J26" i="1455" l="1"/>
  <c r="J24" i="1455"/>
  <c r="G22" i="1455"/>
  <c r="G23" i="1455"/>
  <c r="J22" i="1455"/>
  <c r="H22" i="1455"/>
  <c r="J20" i="1455"/>
  <c r="J19" i="1455"/>
  <c r="J18" i="1455"/>
  <c r="H19" i="1455"/>
  <c r="H18" i="1455"/>
  <c r="I13" i="1455"/>
  <c r="F9" i="1455"/>
  <c r="O9" i="1455" s="1"/>
  <c r="N8" i="1455"/>
  <c r="N16" i="1455" s="1"/>
  <c r="M16" i="1455"/>
  <c r="L8" i="1455"/>
  <c r="L16" i="1455" s="1"/>
  <c r="J8" i="1455"/>
  <c r="J16" i="1455" s="1"/>
  <c r="D29" i="1451"/>
  <c r="C42" i="1433"/>
  <c r="C39" i="1433" s="1"/>
  <c r="C50" i="1433"/>
  <c r="D50" i="1430" s="1"/>
  <c r="E50" i="1430" s="1"/>
  <c r="C49" i="1433"/>
  <c r="C48" i="1433"/>
  <c r="C49" i="1431"/>
  <c r="D49" i="1430" s="1"/>
  <c r="C48" i="1431"/>
  <c r="C49" i="1430"/>
  <c r="F15" i="1450" s="1"/>
  <c r="F16" i="1450" s="1"/>
  <c r="C48" i="1430"/>
  <c r="E15" i="1450" s="1"/>
  <c r="C15" i="1428"/>
  <c r="D15" i="1427" s="1"/>
  <c r="C118" i="1429"/>
  <c r="D118" i="1427" s="1"/>
  <c r="F118" i="1427" s="1"/>
  <c r="C113" i="1429"/>
  <c r="C101" i="1429" s="1"/>
  <c r="C13" i="1429"/>
  <c r="C12" i="1429" s="1"/>
  <c r="C9" i="1429" s="1"/>
  <c r="C108" i="1428"/>
  <c r="D108" i="1427" s="1"/>
  <c r="C11" i="1428"/>
  <c r="D11" i="1427" s="1"/>
  <c r="C14" i="1428"/>
  <c r="D14" i="1427" s="1"/>
  <c r="C10" i="1428"/>
  <c r="D10" i="1427" s="1"/>
  <c r="C113" i="1427"/>
  <c r="C108" i="1427"/>
  <c r="C15" i="1427"/>
  <c r="C14" i="1427"/>
  <c r="C12" i="1427" s="1"/>
  <c r="C11" i="1427"/>
  <c r="C10" i="1427"/>
  <c r="E28" i="1421"/>
  <c r="E35" i="1421" s="1"/>
  <c r="C39" i="1421"/>
  <c r="C45" i="1421" s="1"/>
  <c r="C17" i="1422"/>
  <c r="B17" i="1422"/>
  <c r="B23" i="1422" s="1"/>
  <c r="C6" i="1422"/>
  <c r="C13" i="1422" s="1"/>
  <c r="F14" i="1420"/>
  <c r="B12" i="1420"/>
  <c r="D12" i="1420"/>
  <c r="D26" i="1420" s="1"/>
  <c r="E12" i="1420"/>
  <c r="F33" i="1419"/>
  <c r="B33" i="1419"/>
  <c r="G31" i="1419"/>
  <c r="F27" i="1419"/>
  <c r="B27" i="1419"/>
  <c r="G37" i="1419"/>
  <c r="C103" i="1360"/>
  <c r="C102" i="1360"/>
  <c r="D113" i="1358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A1" i="1459"/>
  <c r="L61" i="1458"/>
  <c r="O61" i="1458" s="1"/>
  <c r="N60" i="1458"/>
  <c r="N62" i="1458" s="1"/>
  <c r="M60" i="1458"/>
  <c r="M62" i="1458" s="1"/>
  <c r="L60" i="1458"/>
  <c r="F60" i="1458"/>
  <c r="F62" i="1458" s="1"/>
  <c r="O59" i="1458"/>
  <c r="H59" i="1458"/>
  <c r="O58" i="1458"/>
  <c r="E58" i="1458"/>
  <c r="O56" i="1458"/>
  <c r="H56" i="1458"/>
  <c r="J55" i="1458"/>
  <c r="O55" i="1458" s="1"/>
  <c r="H55" i="1458"/>
  <c r="O54" i="1458"/>
  <c r="H54" i="1458"/>
  <c r="O53" i="1458"/>
  <c r="H53" i="1458"/>
  <c r="O52" i="1458"/>
  <c r="H52" i="1458"/>
  <c r="O51" i="1458"/>
  <c r="H51" i="1458"/>
  <c r="J47" i="1458"/>
  <c r="O47" i="1458" s="1"/>
  <c r="H47" i="1458"/>
  <c r="O46" i="1458"/>
  <c r="C46" i="1458"/>
  <c r="H46" i="1458" s="1"/>
  <c r="O45" i="1458"/>
  <c r="C45" i="1458"/>
  <c r="H45" i="1458" s="1"/>
  <c r="O43" i="1458"/>
  <c r="C43" i="1458"/>
  <c r="H43" i="1458" s="1"/>
  <c r="K42" i="1458"/>
  <c r="J42" i="1458"/>
  <c r="H42" i="1458"/>
  <c r="O41" i="1458"/>
  <c r="H41" i="1458"/>
  <c r="O40" i="1458"/>
  <c r="H40" i="1458"/>
  <c r="O39" i="1458"/>
  <c r="H39" i="1458"/>
  <c r="O38" i="1458"/>
  <c r="H38" i="1458"/>
  <c r="O37" i="1458"/>
  <c r="H37" i="1458"/>
  <c r="O35" i="1458"/>
  <c r="H35" i="1458"/>
  <c r="J34" i="1458"/>
  <c r="O34" i="1458" s="1"/>
  <c r="H34" i="1458"/>
  <c r="J33" i="1458"/>
  <c r="O33" i="1458" s="1"/>
  <c r="H33" i="1458"/>
  <c r="H32" i="1458"/>
  <c r="O30" i="1458"/>
  <c r="H30" i="1458"/>
  <c r="O29" i="1458"/>
  <c r="C29" i="1458"/>
  <c r="H29" i="1458" s="1"/>
  <c r="O28" i="1458"/>
  <c r="H28" i="1458"/>
  <c r="O27" i="1458"/>
  <c r="H27" i="1458"/>
  <c r="O25" i="1458"/>
  <c r="H25" i="1458"/>
  <c r="K24" i="1458"/>
  <c r="K60" i="1458" s="1"/>
  <c r="K62" i="1458" s="1"/>
  <c r="J24" i="1458"/>
  <c r="H24" i="1458"/>
  <c r="O23" i="1458"/>
  <c r="H23" i="1458"/>
  <c r="J22" i="1458"/>
  <c r="O22" i="1458" s="1"/>
  <c r="H22" i="1458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0" i="1458" s="1"/>
  <c r="G62" i="1458" s="1"/>
  <c r="J14" i="1458"/>
  <c r="H14" i="1458"/>
  <c r="O13" i="1458"/>
  <c r="I13" i="1458"/>
  <c r="I60" i="1458" s="1"/>
  <c r="I62" i="1458" s="1"/>
  <c r="I63" i="1458" s="1"/>
  <c r="C13" i="1458"/>
  <c r="H13" i="1458" s="1"/>
  <c r="O12" i="1458"/>
  <c r="D12" i="1458"/>
  <c r="D60" i="1458" s="1"/>
  <c r="D62" i="1458" s="1"/>
  <c r="C12" i="1458"/>
  <c r="O11" i="1458"/>
  <c r="H11" i="1458"/>
  <c r="O10" i="1458"/>
  <c r="C10" i="1458"/>
  <c r="D24" i="1457"/>
  <c r="D11" i="1457"/>
  <c r="D10" i="1457"/>
  <c r="C48" i="1456"/>
  <c r="C36" i="1456"/>
  <c r="C39" i="1456" s="1"/>
  <c r="C25" i="1456"/>
  <c r="C16" i="1456"/>
  <c r="C19" i="1456" s="1"/>
  <c r="C27" i="1455"/>
  <c r="O27" i="1455" s="1"/>
  <c r="H26" i="1455"/>
  <c r="G26" i="1455"/>
  <c r="F26" i="1455"/>
  <c r="E26" i="1455"/>
  <c r="C26" i="1455"/>
  <c r="O25" i="1455"/>
  <c r="H24" i="1455"/>
  <c r="H23" i="1455"/>
  <c r="E22" i="1455"/>
  <c r="O21" i="1455"/>
  <c r="H20" i="1455"/>
  <c r="G20" i="1455"/>
  <c r="F20" i="1455"/>
  <c r="E20" i="1455"/>
  <c r="I19" i="1455"/>
  <c r="G19" i="1455"/>
  <c r="F19" i="1455"/>
  <c r="E19" i="1455"/>
  <c r="D19" i="1455"/>
  <c r="M28" i="1455"/>
  <c r="K28" i="1455"/>
  <c r="I18" i="1455"/>
  <c r="G18" i="1455"/>
  <c r="F18" i="1455"/>
  <c r="E18" i="1455"/>
  <c r="D18" i="1455"/>
  <c r="Q17" i="1455"/>
  <c r="C15" i="1455"/>
  <c r="C16" i="1455" s="1"/>
  <c r="O14" i="1455"/>
  <c r="D13" i="1455"/>
  <c r="O12" i="1455"/>
  <c r="I11" i="1455"/>
  <c r="G11" i="1455"/>
  <c r="F11" i="1455"/>
  <c r="E11" i="1455"/>
  <c r="D11" i="1455"/>
  <c r="K10" i="1455"/>
  <c r="K16" i="1455" s="1"/>
  <c r="E10" i="1455"/>
  <c r="F8" i="1455"/>
  <c r="H7" i="1455"/>
  <c r="H16" i="1455" s="1"/>
  <c r="G7" i="1455"/>
  <c r="F7" i="1455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I135" i="1452" s="1"/>
  <c r="K135" i="1452"/>
  <c r="J135" i="1452"/>
  <c r="D135" i="1452"/>
  <c r="C135" i="1452"/>
  <c r="I133" i="1452"/>
  <c r="J125" i="1452"/>
  <c r="I125" i="1452"/>
  <c r="D125" i="1452"/>
  <c r="D120" i="1452" s="1"/>
  <c r="C125" i="1452"/>
  <c r="I124" i="1452"/>
  <c r="I123" i="1452"/>
  <c r="I122" i="1452"/>
  <c r="K121" i="1452"/>
  <c r="K120" i="1452" s="1"/>
  <c r="J121" i="1452"/>
  <c r="J120" i="1452" s="1"/>
  <c r="I121" i="1452"/>
  <c r="I120" i="1452" s="1"/>
  <c r="C120" i="1452"/>
  <c r="I119" i="1452"/>
  <c r="J117" i="1452"/>
  <c r="I117" i="1452"/>
  <c r="I116" i="1452"/>
  <c r="I111" i="1452"/>
  <c r="J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J78" i="1452" s="1"/>
  <c r="I79" i="1452"/>
  <c r="I78" i="1452" s="1"/>
  <c r="G78" i="1452"/>
  <c r="F78" i="1452"/>
  <c r="E78" i="1452"/>
  <c r="D78" i="1452"/>
  <c r="C78" i="1452"/>
  <c r="K73" i="1452"/>
  <c r="J73" i="1452"/>
  <c r="I73" i="1452"/>
  <c r="G73" i="1452"/>
  <c r="F73" i="1452"/>
  <c r="E73" i="1452"/>
  <c r="D73" i="1452"/>
  <c r="C73" i="1452"/>
  <c r="I70" i="1452"/>
  <c r="I69" i="1452" s="1"/>
  <c r="K69" i="1452"/>
  <c r="J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E12" i="1452"/>
  <c r="E9" i="1452" s="1"/>
  <c r="K9" i="1452"/>
  <c r="J9" i="1452"/>
  <c r="G9" i="1452"/>
  <c r="F9" i="1452"/>
  <c r="D9" i="1452"/>
  <c r="C9" i="1452"/>
  <c r="D31" i="1451"/>
  <c r="D21" i="1451"/>
  <c r="D20" i="1451"/>
  <c r="D16" i="1451"/>
  <c r="I16" i="1450"/>
  <c r="H16" i="1450"/>
  <c r="J15" i="1450"/>
  <c r="J16" i="1450" s="1"/>
  <c r="G15" i="1450"/>
  <c r="G16" i="1450" s="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K10" i="1450"/>
  <c r="C10" i="1450" s="1"/>
  <c r="C52" i="1449"/>
  <c r="C46" i="1449"/>
  <c r="E46" i="1447" s="1"/>
  <c r="F46" i="1447" s="1"/>
  <c r="C38" i="1449"/>
  <c r="C31" i="1449"/>
  <c r="E31" i="1447" s="1"/>
  <c r="F31" i="1447" s="1"/>
  <c r="C27" i="1449"/>
  <c r="C21" i="1449"/>
  <c r="C9" i="1449"/>
  <c r="A1" i="1449"/>
  <c r="C53" i="1448"/>
  <c r="E53" i="1447" s="1"/>
  <c r="C50" i="1448"/>
  <c r="E50" i="1447" s="1"/>
  <c r="C49" i="1448"/>
  <c r="E49" i="1447" s="1"/>
  <c r="C48" i="1448"/>
  <c r="E48" i="1447" s="1"/>
  <c r="C42" i="1448"/>
  <c r="C39" i="1448" s="1"/>
  <c r="E39" i="1447" s="1"/>
  <c r="C32" i="1448"/>
  <c r="E32" i="1447" s="1"/>
  <c r="C27" i="1448"/>
  <c r="C21" i="1448"/>
  <c r="C14" i="1448"/>
  <c r="C9" i="1448" s="1"/>
  <c r="E61" i="1447"/>
  <c r="F61" i="1447" s="1"/>
  <c r="E60" i="1447"/>
  <c r="F60" i="1447" s="1"/>
  <c r="E57" i="1447"/>
  <c r="F57" i="1447" s="1"/>
  <c r="E56" i="1447"/>
  <c r="F56" i="1447" s="1"/>
  <c r="E55" i="1447"/>
  <c r="F55" i="1447" s="1"/>
  <c r="E54" i="1447"/>
  <c r="F54" i="1447" s="1"/>
  <c r="C53" i="1447"/>
  <c r="E52" i="1447"/>
  <c r="F52" i="1447" s="1"/>
  <c r="E51" i="1447"/>
  <c r="F51" i="1447" s="1"/>
  <c r="C50" i="1447"/>
  <c r="C49" i="1447"/>
  <c r="C48" i="1447"/>
  <c r="E45" i="1447"/>
  <c r="F45" i="1447" s="1"/>
  <c r="E44" i="1447"/>
  <c r="F44" i="1447" s="1"/>
  <c r="C42" i="1447"/>
  <c r="C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C32" i="1447"/>
  <c r="E30" i="1447"/>
  <c r="F30" i="1447" s="1"/>
  <c r="E29" i="1447"/>
  <c r="F29" i="1447" s="1"/>
  <c r="E28" i="1447"/>
  <c r="F28" i="1447" s="1"/>
  <c r="C27" i="1447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C21" i="1447"/>
  <c r="E20" i="1447"/>
  <c r="F20" i="1447" s="1"/>
  <c r="E19" i="1447"/>
  <c r="F19" i="1447" s="1"/>
  <c r="E18" i="1447"/>
  <c r="F18" i="1447" s="1"/>
  <c r="E17" i="1447"/>
  <c r="F17" i="1447" s="1"/>
  <c r="E16" i="1447"/>
  <c r="F16" i="1447" s="1"/>
  <c r="E15" i="1447"/>
  <c r="F15" i="1447" s="1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39" i="1446"/>
  <c r="C32" i="1446"/>
  <c r="C27" i="1446"/>
  <c r="C21" i="1446"/>
  <c r="C9" i="1446"/>
  <c r="A1" i="1446"/>
  <c r="C53" i="1445"/>
  <c r="C47" i="1445"/>
  <c r="C42" i="1445"/>
  <c r="C39" i="1445" s="1"/>
  <c r="C32" i="1445"/>
  <c r="C27" i="1445"/>
  <c r="C21" i="1445"/>
  <c r="C9" i="1445"/>
  <c r="C53" i="1444"/>
  <c r="C50" i="1444"/>
  <c r="E50" i="1443" s="1"/>
  <c r="C49" i="1444"/>
  <c r="C48" i="1444"/>
  <c r="C42" i="1444"/>
  <c r="C40" i="1444"/>
  <c r="C32" i="1444"/>
  <c r="C27" i="1444"/>
  <c r="C21" i="1444"/>
  <c r="C9" i="1444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46" i="1443"/>
  <c r="F46" i="1443" s="1"/>
  <c r="E45" i="1443"/>
  <c r="F45" i="1443" s="1"/>
  <c r="E44" i="1443"/>
  <c r="F44" i="1443" s="1"/>
  <c r="C42" i="1443"/>
  <c r="E41" i="1443"/>
  <c r="F41" i="1443" s="1"/>
  <c r="C40" i="1443"/>
  <c r="E37" i="1443"/>
  <c r="F37" i="1443" s="1"/>
  <c r="E36" i="1443"/>
  <c r="F36" i="1443" s="1"/>
  <c r="E35" i="1443"/>
  <c r="F35" i="1443" s="1"/>
  <c r="E34" i="1443"/>
  <c r="F34" i="1443" s="1"/>
  <c r="E33" i="1443"/>
  <c r="F33" i="1443" s="1"/>
  <c r="C32" i="1443"/>
  <c r="E31" i="1443"/>
  <c r="F31" i="1443" s="1"/>
  <c r="E30" i="1443"/>
  <c r="F30" i="1443" s="1"/>
  <c r="E29" i="1443"/>
  <c r="F29" i="1443" s="1"/>
  <c r="E28" i="1443"/>
  <c r="F28" i="1443" s="1"/>
  <c r="C27" i="1443"/>
  <c r="E26" i="1443"/>
  <c r="F26" i="1443" s="1"/>
  <c r="E25" i="1443"/>
  <c r="E24" i="1443"/>
  <c r="E23" i="1443"/>
  <c r="F23" i="1443" s="1"/>
  <c r="E22" i="1443"/>
  <c r="F22" i="1443" s="1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C9" i="1443"/>
  <c r="C53" i="1442"/>
  <c r="C47" i="1442"/>
  <c r="C39" i="1442"/>
  <c r="C32" i="1442"/>
  <c r="C27" i="1442"/>
  <c r="C21" i="1442"/>
  <c r="C9" i="1442"/>
  <c r="A1" i="1442"/>
  <c r="C53" i="1441"/>
  <c r="E53" i="1440" s="1"/>
  <c r="E50" i="1440"/>
  <c r="F50" i="1440" s="1"/>
  <c r="C48" i="1441"/>
  <c r="C47" i="1441" s="1"/>
  <c r="C39" i="1441"/>
  <c r="C32" i="1441"/>
  <c r="C27" i="1441"/>
  <c r="C21" i="1441"/>
  <c r="C14" i="1441"/>
  <c r="C9" i="1441" s="1"/>
  <c r="E61" i="1440"/>
  <c r="F61" i="1440" s="1"/>
  <c r="E60" i="1440"/>
  <c r="F60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C53" i="1440"/>
  <c r="E52" i="1440"/>
  <c r="F52" i="1440" s="1"/>
  <c r="E51" i="1440"/>
  <c r="F51" i="1440" s="1"/>
  <c r="C47" i="1440"/>
  <c r="E49" i="1440"/>
  <c r="F49" i="1440" s="1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E37" i="1440"/>
  <c r="F37" i="1440" s="1"/>
  <c r="E36" i="1440"/>
  <c r="F36" i="1440" s="1"/>
  <c r="E35" i="1440"/>
  <c r="F35" i="1440" s="1"/>
  <c r="E34" i="1440"/>
  <c r="F34" i="1440" s="1"/>
  <c r="E33" i="1440"/>
  <c r="F33" i="1440" s="1"/>
  <c r="C32" i="1440"/>
  <c r="E31" i="1440"/>
  <c r="F31" i="1440" s="1"/>
  <c r="E30" i="1440"/>
  <c r="F30" i="1440" s="1"/>
  <c r="E29" i="1440"/>
  <c r="F29" i="1440" s="1"/>
  <c r="E28" i="1440"/>
  <c r="F28" i="1440" s="1"/>
  <c r="C27" i="1440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C21" i="1440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F15" i="1440" s="1"/>
  <c r="C14" i="1440"/>
  <c r="E13" i="1440"/>
  <c r="F13" i="1440" s="1"/>
  <c r="E12" i="1440"/>
  <c r="F12" i="1440" s="1"/>
  <c r="E11" i="1440"/>
  <c r="F11" i="1440" s="1"/>
  <c r="E10" i="1440"/>
  <c r="F10" i="1440" s="1"/>
  <c r="C53" i="1439"/>
  <c r="C47" i="1439"/>
  <c r="C39" i="1439"/>
  <c r="C32" i="1439"/>
  <c r="C27" i="1439"/>
  <c r="C21" i="1439"/>
  <c r="C9" i="1439"/>
  <c r="A1" i="1439"/>
  <c r="C53" i="1438"/>
  <c r="E53" i="1437" s="1"/>
  <c r="C50" i="1438"/>
  <c r="C48" i="1438"/>
  <c r="E48" i="1437" s="1"/>
  <c r="C39" i="1438"/>
  <c r="C32" i="1438"/>
  <c r="C27" i="1438"/>
  <c r="C21" i="1438"/>
  <c r="C9" i="1438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F54" i="1437" s="1"/>
  <c r="E52" i="1437"/>
  <c r="F52" i="1437" s="1"/>
  <c r="E51" i="1437"/>
  <c r="F51" i="1437" s="1"/>
  <c r="E50" i="1437"/>
  <c r="C50" i="1437"/>
  <c r="E49" i="1437"/>
  <c r="F49" i="1437" s="1"/>
  <c r="C48" i="1437"/>
  <c r="E46" i="1437"/>
  <c r="F46" i="1437" s="1"/>
  <c r="E45" i="1437"/>
  <c r="F45" i="1437" s="1"/>
  <c r="E44" i="1437"/>
  <c r="F44" i="1437" s="1"/>
  <c r="E42" i="1437"/>
  <c r="E41" i="1437"/>
  <c r="F41" i="1437" s="1"/>
  <c r="E40" i="1437"/>
  <c r="F40" i="1437" s="1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C32" i="1437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C21" i="1437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53" i="1436"/>
  <c r="C47" i="1436"/>
  <c r="C39" i="1436"/>
  <c r="C32" i="1436"/>
  <c r="C27" i="1436"/>
  <c r="C21" i="1436"/>
  <c r="C9" i="1436"/>
  <c r="A1" i="1436"/>
  <c r="C53" i="1435"/>
  <c r="E53" i="1434" s="1"/>
  <c r="C50" i="1435"/>
  <c r="E50" i="1434" s="1"/>
  <c r="C49" i="1435"/>
  <c r="E49" i="1434" s="1"/>
  <c r="C48" i="1435"/>
  <c r="E48" i="1434" s="1"/>
  <c r="C42" i="1435"/>
  <c r="C39" i="1435" s="1"/>
  <c r="E39" i="1434" s="1"/>
  <c r="C32" i="1435"/>
  <c r="C27" i="1435"/>
  <c r="C21" i="1435"/>
  <c r="C15" i="1435"/>
  <c r="E15" i="1434" s="1"/>
  <c r="C14" i="1435"/>
  <c r="E14" i="1434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C53" i="1434"/>
  <c r="E52" i="1434"/>
  <c r="F52" i="1434" s="1"/>
  <c r="E51" i="1434"/>
  <c r="F51" i="1434" s="1"/>
  <c r="C50" i="1434"/>
  <c r="C49" i="1434"/>
  <c r="C48" i="1434"/>
  <c r="E46" i="1434"/>
  <c r="F46" i="1434" s="1"/>
  <c r="E45" i="1434"/>
  <c r="F45" i="1434" s="1"/>
  <c r="E44" i="1434"/>
  <c r="F44" i="1434" s="1"/>
  <c r="C42" i="1434"/>
  <c r="E41" i="1434"/>
  <c r="F41" i="1434" s="1"/>
  <c r="E40" i="1434"/>
  <c r="F40" i="1434" s="1"/>
  <c r="E37" i="1434"/>
  <c r="F37" i="1434" s="1"/>
  <c r="E36" i="1434"/>
  <c r="F36" i="1434" s="1"/>
  <c r="E35" i="1434"/>
  <c r="F35" i="1434" s="1"/>
  <c r="E34" i="1434"/>
  <c r="F34" i="1434" s="1"/>
  <c r="E33" i="1434"/>
  <c r="F33" i="1434" s="1"/>
  <c r="C32" i="1434"/>
  <c r="E31" i="1434"/>
  <c r="F31" i="1434" s="1"/>
  <c r="E30" i="1434"/>
  <c r="F30" i="1434" s="1"/>
  <c r="E29" i="1434"/>
  <c r="F29" i="1434" s="1"/>
  <c r="E28" i="1434"/>
  <c r="F28" i="1434" s="1"/>
  <c r="C27" i="1434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C21" i="1434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C15" i="1434"/>
  <c r="C14" i="1434"/>
  <c r="E13" i="1434"/>
  <c r="F13" i="1434" s="1"/>
  <c r="E12" i="1434"/>
  <c r="F12" i="1434" s="1"/>
  <c r="E11" i="1434"/>
  <c r="F11" i="1434" s="1"/>
  <c r="E10" i="1434"/>
  <c r="F10" i="1434" s="1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A1" i="1432"/>
  <c r="C53" i="1431"/>
  <c r="C40" i="1431"/>
  <c r="C39" i="1431" s="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C40" i="1430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9" i="1427" s="1"/>
  <c r="E119" i="1427" s="1"/>
  <c r="D118" i="1429"/>
  <c r="D117" i="1429"/>
  <c r="D116" i="1429"/>
  <c r="E116" i="1429" s="1"/>
  <c r="D115" i="1429"/>
  <c r="E115" i="1429" s="1"/>
  <c r="D114" i="1429"/>
  <c r="E114" i="1429" s="1"/>
  <c r="D113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7" i="1427" s="1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6" i="1427" s="1"/>
  <c r="F46" i="1427" s="1"/>
  <c r="D45" i="1429"/>
  <c r="E45" i="1429" s="1"/>
  <c r="D44" i="1429"/>
  <c r="E44" i="1429" s="1"/>
  <c r="D43" i="1429"/>
  <c r="E43" i="1429" s="1"/>
  <c r="D42" i="1429"/>
  <c r="C42" i="1429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D11" i="1429"/>
  <c r="E11" i="1429" s="1"/>
  <c r="D10" i="1429"/>
  <c r="E10" i="1429" s="1"/>
  <c r="D9" i="1429"/>
  <c r="C148" i="1428"/>
  <c r="C145" i="1428"/>
  <c r="C143" i="1428" s="1"/>
  <c r="C136" i="1428"/>
  <c r="C132" i="1428"/>
  <c r="C122" i="1428"/>
  <c r="C117" i="1428" s="1"/>
  <c r="D121" i="1427"/>
  <c r="C114" i="1428"/>
  <c r="D114" i="1427" s="1"/>
  <c r="C113" i="1428"/>
  <c r="C85" i="1428"/>
  <c r="D85" i="1427" s="1"/>
  <c r="C82" i="1428"/>
  <c r="C81" i="1428" s="1"/>
  <c r="D81" i="1427" s="1"/>
  <c r="C79" i="1428"/>
  <c r="C78" i="1428" s="1"/>
  <c r="C73" i="1428"/>
  <c r="D73" i="1427" s="1"/>
  <c r="C69" i="1428"/>
  <c r="D69" i="1427" s="1"/>
  <c r="C63" i="1428"/>
  <c r="C58" i="1428"/>
  <c r="C52" i="1428"/>
  <c r="D52" i="1427" s="1"/>
  <c r="C51" i="1428"/>
  <c r="C40" i="1428" s="1"/>
  <c r="C37" i="1428"/>
  <c r="D37" i="1427" s="1"/>
  <c r="C33" i="1428"/>
  <c r="C25" i="1428"/>
  <c r="C18" i="1428"/>
  <c r="C16" i="1428"/>
  <c r="D16" i="1427" s="1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C148" i="1427"/>
  <c r="D147" i="1427"/>
  <c r="F147" i="1427" s="1"/>
  <c r="D146" i="1427"/>
  <c r="E146" i="1427" s="1"/>
  <c r="C145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C136" i="1427"/>
  <c r="D135" i="1427"/>
  <c r="E135" i="1427" s="1"/>
  <c r="D134" i="1427"/>
  <c r="F134" i="1427" s="1"/>
  <c r="D133" i="1427"/>
  <c r="E133" i="1427" s="1"/>
  <c r="C132" i="1427"/>
  <c r="M64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0" i="1427"/>
  <c r="D116" i="1427"/>
  <c r="F116" i="1427" s="1"/>
  <c r="D115" i="1427"/>
  <c r="F115" i="1427" s="1"/>
  <c r="C114" i="1427"/>
  <c r="N64" i="1458" s="1"/>
  <c r="D112" i="1427"/>
  <c r="E112" i="1427" s="1"/>
  <c r="D111" i="1427"/>
  <c r="F111" i="1427" s="1"/>
  <c r="D110" i="1427"/>
  <c r="E110" i="1427" s="1"/>
  <c r="D109" i="1427"/>
  <c r="F109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C102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C85" i="1427"/>
  <c r="D84" i="1427"/>
  <c r="F84" i="1427" s="1"/>
  <c r="D83" i="1427"/>
  <c r="E83" i="1427" s="1"/>
  <c r="C82" i="1427"/>
  <c r="C81" i="1427" s="1"/>
  <c r="D80" i="1427"/>
  <c r="F80" i="1427" s="1"/>
  <c r="C79" i="1427"/>
  <c r="D77" i="1427"/>
  <c r="E77" i="1427" s="1"/>
  <c r="D76" i="1427"/>
  <c r="F76" i="1427" s="1"/>
  <c r="D75" i="1427"/>
  <c r="E75" i="1427" s="1"/>
  <c r="D74" i="1427"/>
  <c r="F74" i="1427" s="1"/>
  <c r="C73" i="1427"/>
  <c r="D72" i="1427"/>
  <c r="E72" i="1427" s="1"/>
  <c r="D71" i="1427"/>
  <c r="F71" i="1427" s="1"/>
  <c r="D70" i="1427"/>
  <c r="E70" i="1427" s="1"/>
  <c r="C69" i="1427"/>
  <c r="F64" i="1458" s="1"/>
  <c r="C67" i="1427"/>
  <c r="C66" i="1427"/>
  <c r="C63" i="1427" s="1"/>
  <c r="D65" i="1427"/>
  <c r="E65" i="1427" s="1"/>
  <c r="D64" i="1427"/>
  <c r="F64" i="1427" s="1"/>
  <c r="D62" i="1427"/>
  <c r="E62" i="1427" s="1"/>
  <c r="C61" i="1427"/>
  <c r="D60" i="1427"/>
  <c r="C60" i="1427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C52" i="1427"/>
  <c r="C51" i="1427"/>
  <c r="D50" i="1427"/>
  <c r="F50" i="1427" s="1"/>
  <c r="D49" i="1427"/>
  <c r="E49" i="1427" s="1"/>
  <c r="D48" i="1427"/>
  <c r="F48" i="1427" s="1"/>
  <c r="D47" i="1427"/>
  <c r="E47" i="1427" s="1"/>
  <c r="D45" i="1427"/>
  <c r="F45" i="1427" s="1"/>
  <c r="D44" i="1427"/>
  <c r="E44" i="1427" s="1"/>
  <c r="D43" i="1427"/>
  <c r="C42" i="1427"/>
  <c r="D41" i="1427"/>
  <c r="F41" i="1427" s="1"/>
  <c r="D39" i="1427"/>
  <c r="E39" i="1427" s="1"/>
  <c r="D38" i="1427"/>
  <c r="F38" i="1427" s="1"/>
  <c r="C37" i="1427"/>
  <c r="D36" i="1427"/>
  <c r="E36" i="1427" s="1"/>
  <c r="D35" i="1427"/>
  <c r="F35" i="1427" s="1"/>
  <c r="D34" i="1427"/>
  <c r="C34" i="1427"/>
  <c r="C33" i="1427" s="1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C25" i="1427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C16" i="1427"/>
  <c r="D45" i="1426"/>
  <c r="C45" i="1426"/>
  <c r="B45" i="1426"/>
  <c r="E44" i="1426"/>
  <c r="E43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B17" i="1424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A1" i="1424"/>
  <c r="D45" i="1423"/>
  <c r="E44" i="1423"/>
  <c r="E43" i="1423"/>
  <c r="E42" i="1423"/>
  <c r="B41" i="1423"/>
  <c r="E41" i="1423" s="1"/>
  <c r="C45" i="1423"/>
  <c r="B40" i="1423"/>
  <c r="B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D23" i="1422"/>
  <c r="E22" i="1422"/>
  <c r="E21" i="1422"/>
  <c r="E20" i="1422"/>
  <c r="E19" i="1422"/>
  <c r="E18" i="1422"/>
  <c r="E16" i="1422"/>
  <c r="D15" i="1422"/>
  <c r="C15" i="1422"/>
  <c r="B15" i="1422"/>
  <c r="D13" i="1422"/>
  <c r="B13" i="1422"/>
  <c r="E12" i="1422"/>
  <c r="E11" i="1422"/>
  <c r="E10" i="1422"/>
  <c r="E9" i="1422"/>
  <c r="E8" i="1422"/>
  <c r="E7" i="1422"/>
  <c r="D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D35" i="1421"/>
  <c r="C35" i="1421"/>
  <c r="B35" i="1421"/>
  <c r="D23" i="1421"/>
  <c r="E22" i="1421"/>
  <c r="C21" i="1421"/>
  <c r="E21" i="1421" s="1"/>
  <c r="E20" i="1421"/>
  <c r="E19" i="1421"/>
  <c r="E18" i="1421"/>
  <c r="C17" i="1421"/>
  <c r="C23" i="1421" s="1"/>
  <c r="B17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E24" i="1420"/>
  <c r="F18" i="1420"/>
  <c r="F17" i="1420"/>
  <c r="E16" i="1420"/>
  <c r="B16" i="1420"/>
  <c r="F15" i="1420"/>
  <c r="F13" i="1420"/>
  <c r="F11" i="1420"/>
  <c r="F10" i="1420"/>
  <c r="F9" i="1420"/>
  <c r="F8" i="1420"/>
  <c r="G75" i="1419"/>
  <c r="G74" i="1419"/>
  <c r="G73" i="1419"/>
  <c r="F72" i="1419"/>
  <c r="D72" i="1419"/>
  <c r="B72" i="1419"/>
  <c r="B71" i="1419"/>
  <c r="G71" i="1419" s="1"/>
  <c r="G70" i="1419"/>
  <c r="G69" i="1419"/>
  <c r="G68" i="1419"/>
  <c r="G67" i="1419"/>
  <c r="G66" i="1419"/>
  <c r="G65" i="1419"/>
  <c r="G64" i="1419"/>
  <c r="G63" i="1419"/>
  <c r="F62" i="1419"/>
  <c r="D62" i="1419"/>
  <c r="G61" i="1419"/>
  <c r="G57" i="1419"/>
  <c r="G56" i="1419"/>
  <c r="G55" i="1419"/>
  <c r="F54" i="1419"/>
  <c r="D54" i="1419"/>
  <c r="B54" i="1419"/>
  <c r="G53" i="1419"/>
  <c r="G52" i="1419"/>
  <c r="G51" i="1419"/>
  <c r="G50" i="1419"/>
  <c r="G49" i="1419"/>
  <c r="F48" i="1419"/>
  <c r="D48" i="1419"/>
  <c r="B48" i="1419"/>
  <c r="G47" i="1419"/>
  <c r="G46" i="1419"/>
  <c r="G45" i="1419"/>
  <c r="F44" i="1419"/>
  <c r="B44" i="1419"/>
  <c r="G43" i="1419"/>
  <c r="G42" i="1419"/>
  <c r="G41" i="1419"/>
  <c r="G40" i="1419"/>
  <c r="F39" i="1419"/>
  <c r="B39" i="1419"/>
  <c r="G36" i="1419"/>
  <c r="G35" i="1419"/>
  <c r="F34" i="1419"/>
  <c r="B34" i="1419"/>
  <c r="G32" i="1419"/>
  <c r="G30" i="1419"/>
  <c r="G29" i="1419"/>
  <c r="G28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5" i="1419"/>
  <c r="B14" i="1419"/>
  <c r="G14" i="1419" s="1"/>
  <c r="G13" i="1419"/>
  <c r="G12" i="1419"/>
  <c r="G11" i="1419"/>
  <c r="B10" i="1419"/>
  <c r="G10" i="1419" s="1"/>
  <c r="G9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E27" i="1434" l="1"/>
  <c r="E32" i="1443"/>
  <c r="E27" i="1447"/>
  <c r="E21" i="1434"/>
  <c r="E21" i="1447"/>
  <c r="I9" i="1452"/>
  <c r="C59" i="1441"/>
  <c r="F7" i="1419"/>
  <c r="D143" i="1427"/>
  <c r="D113" i="1427"/>
  <c r="F113" i="1427" s="1"/>
  <c r="F16" i="1455"/>
  <c r="D42" i="1430"/>
  <c r="E42" i="1430" s="1"/>
  <c r="F15" i="1427"/>
  <c r="E11" i="1427"/>
  <c r="B26" i="1420"/>
  <c r="E6" i="1422"/>
  <c r="D79" i="1427"/>
  <c r="F79" i="1427" s="1"/>
  <c r="D25" i="1427"/>
  <c r="E25" i="1427" s="1"/>
  <c r="G27" i="1419"/>
  <c r="C47" i="1431"/>
  <c r="C59" i="1431" s="1"/>
  <c r="C47" i="1433"/>
  <c r="C59" i="1433" s="1"/>
  <c r="E39" i="1437"/>
  <c r="E48" i="1440"/>
  <c r="F48" i="1440" s="1"/>
  <c r="E27" i="1440"/>
  <c r="E39" i="1440"/>
  <c r="G8" i="1419"/>
  <c r="E26" i="1420"/>
  <c r="E21" i="1437"/>
  <c r="F21" i="1437" s="1"/>
  <c r="E32" i="1437"/>
  <c r="F32" i="1437" s="1"/>
  <c r="E21" i="1440"/>
  <c r="F21" i="1440" s="1"/>
  <c r="E32" i="1440"/>
  <c r="F32" i="1440" s="1"/>
  <c r="F39" i="1447"/>
  <c r="F49" i="1447"/>
  <c r="E13" i="1424"/>
  <c r="B23" i="1424"/>
  <c r="E35" i="1426"/>
  <c r="E45" i="1426"/>
  <c r="D13" i="1427"/>
  <c r="F13" i="1427" s="1"/>
  <c r="D51" i="1427"/>
  <c r="F51" i="1427" s="1"/>
  <c r="C101" i="1427"/>
  <c r="C96" i="1427" s="1"/>
  <c r="D145" i="1427"/>
  <c r="F145" i="1427" s="1"/>
  <c r="C12" i="1428"/>
  <c r="C9" i="1428" s="1"/>
  <c r="D9" i="1427" s="1"/>
  <c r="D18" i="1427"/>
  <c r="F18" i="1427" s="1"/>
  <c r="C32" i="1428"/>
  <c r="D32" i="1427" s="1"/>
  <c r="C101" i="1428"/>
  <c r="C96" i="1428" s="1"/>
  <c r="C131" i="1428" s="1"/>
  <c r="D136" i="1427"/>
  <c r="E136" i="1427" s="1"/>
  <c r="D148" i="1427"/>
  <c r="F148" i="1427" s="1"/>
  <c r="C40" i="1429"/>
  <c r="D40" i="1427" s="1"/>
  <c r="C117" i="1429"/>
  <c r="E117" i="1429" s="1"/>
  <c r="D132" i="1427"/>
  <c r="E132" i="1427" s="1"/>
  <c r="C38" i="1431"/>
  <c r="C43" i="1431" s="1"/>
  <c r="D27" i="1430"/>
  <c r="E27" i="1430" s="1"/>
  <c r="D39" i="1430"/>
  <c r="E42" i="1434"/>
  <c r="F42" i="1434" s="1"/>
  <c r="E14" i="1440"/>
  <c r="F14" i="1440" s="1"/>
  <c r="C59" i="1442"/>
  <c r="E59" i="1440" s="1"/>
  <c r="C38" i="1443"/>
  <c r="E42" i="1443"/>
  <c r="F42" i="1443" s="1"/>
  <c r="E49" i="1443"/>
  <c r="F49" i="1443" s="1"/>
  <c r="C47" i="1447"/>
  <c r="C59" i="1447" s="1"/>
  <c r="E40" i="1452"/>
  <c r="J40" i="1452"/>
  <c r="J68" i="1452" s="1"/>
  <c r="C9" i="1427"/>
  <c r="E14" i="1427"/>
  <c r="E108" i="1427"/>
  <c r="E35" i="1423"/>
  <c r="B45" i="1423"/>
  <c r="D33" i="1427"/>
  <c r="F33" i="1427" s="1"/>
  <c r="F60" i="1427"/>
  <c r="F81" i="1427"/>
  <c r="D40" i="1430"/>
  <c r="E40" i="1430" s="1"/>
  <c r="C47" i="1438"/>
  <c r="E47" i="1437" s="1"/>
  <c r="C38" i="1439"/>
  <c r="C43" i="1439" s="1"/>
  <c r="F27" i="1440"/>
  <c r="C59" i="1440"/>
  <c r="C38" i="1444"/>
  <c r="C39" i="1444"/>
  <c r="E39" i="1443" s="1"/>
  <c r="C47" i="1444"/>
  <c r="C59" i="1444" s="1"/>
  <c r="C59" i="1445"/>
  <c r="E14" i="1447"/>
  <c r="F14" i="1447" s="1"/>
  <c r="O24" i="1455"/>
  <c r="J60" i="1458"/>
  <c r="J62" i="1458" s="1"/>
  <c r="B62" i="1419"/>
  <c r="B76" i="1419" s="1"/>
  <c r="F16" i="1420"/>
  <c r="E13" i="1421"/>
  <c r="E13" i="1422"/>
  <c r="E17" i="1422"/>
  <c r="E23" i="1422" s="1"/>
  <c r="E35" i="1422"/>
  <c r="E39" i="1423"/>
  <c r="E18" i="1424"/>
  <c r="F10" i="1427"/>
  <c r="D64" i="1458"/>
  <c r="D63" i="1458" s="1"/>
  <c r="E34" i="1427"/>
  <c r="E37" i="1427"/>
  <c r="D42" i="1427"/>
  <c r="E42" i="1427" s="1"/>
  <c r="D61" i="1427"/>
  <c r="F61" i="1427" s="1"/>
  <c r="D66" i="1427"/>
  <c r="E66" i="1427" s="1"/>
  <c r="E73" i="1427"/>
  <c r="D82" i="1427"/>
  <c r="F82" i="1427" s="1"/>
  <c r="F120" i="1427"/>
  <c r="D78" i="1427"/>
  <c r="D9" i="1430"/>
  <c r="E9" i="1430" s="1"/>
  <c r="D21" i="1430"/>
  <c r="E21" i="1430" s="1"/>
  <c r="D32" i="1430"/>
  <c r="E32" i="1430" s="1"/>
  <c r="C38" i="1432"/>
  <c r="C43" i="1432" s="1"/>
  <c r="C9" i="1435"/>
  <c r="E9" i="1434" s="1"/>
  <c r="C47" i="1435"/>
  <c r="E47" i="1434" s="1"/>
  <c r="C59" i="1436"/>
  <c r="F48" i="1437"/>
  <c r="E47" i="1440"/>
  <c r="F47" i="1440" s="1"/>
  <c r="E40" i="1443"/>
  <c r="F40" i="1443" s="1"/>
  <c r="E48" i="1443"/>
  <c r="F48" i="1443" s="1"/>
  <c r="E53" i="1443"/>
  <c r="F53" i="1443" s="1"/>
  <c r="C47" i="1448"/>
  <c r="C59" i="1448" s="1"/>
  <c r="E59" i="1447" s="1"/>
  <c r="F68" i="1452"/>
  <c r="I33" i="1452"/>
  <c r="I32" i="1452" s="1"/>
  <c r="I40" i="1452"/>
  <c r="K99" i="1452"/>
  <c r="K134" i="1452" s="1"/>
  <c r="J99" i="1452"/>
  <c r="J134" i="1452" s="1"/>
  <c r="C159" i="1452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5" i="1427"/>
  <c r="G33" i="1419"/>
  <c r="C32" i="1427"/>
  <c r="E64" i="1458" s="1"/>
  <c r="E67" i="1427"/>
  <c r="E61" i="1430"/>
  <c r="K159" i="1452"/>
  <c r="G16" i="1419"/>
  <c r="G48" i="1419"/>
  <c r="G54" i="1419"/>
  <c r="F102" i="1427"/>
  <c r="F121" i="1427"/>
  <c r="F21" i="1434"/>
  <c r="C38" i="1438"/>
  <c r="C43" i="1438" s="1"/>
  <c r="C59" i="1439"/>
  <c r="E9" i="1443"/>
  <c r="F9" i="1443" s="1"/>
  <c r="C47" i="1446"/>
  <c r="C59" i="1446" s="1"/>
  <c r="F27" i="1447"/>
  <c r="F32" i="1447"/>
  <c r="F50" i="1447"/>
  <c r="C37" i="1449"/>
  <c r="C42" i="1449" s="1"/>
  <c r="E42" i="1447" s="1"/>
  <c r="F42" i="1447" s="1"/>
  <c r="E33" i="1452"/>
  <c r="E32" i="1452" s="1"/>
  <c r="J92" i="1452"/>
  <c r="C38" i="1437"/>
  <c r="E17" i="1421"/>
  <c r="E102" i="1427"/>
  <c r="E144" i="1427"/>
  <c r="F27" i="1434"/>
  <c r="F42" i="1437"/>
  <c r="E27" i="1443"/>
  <c r="F27" i="1443" s="1"/>
  <c r="C33" i="1452"/>
  <c r="C32" i="1452" s="1"/>
  <c r="C68" i="1452" s="1"/>
  <c r="D92" i="1452"/>
  <c r="I30" i="1453"/>
  <c r="D40" i="1459"/>
  <c r="E23" i="1421"/>
  <c r="E16" i="1427"/>
  <c r="E22" i="1427"/>
  <c r="E28" i="1427"/>
  <c r="E79" i="1427"/>
  <c r="E21" i="1443"/>
  <c r="F21" i="1443" s="1"/>
  <c r="D33" i="1451"/>
  <c r="D35" i="1451" s="1"/>
  <c r="O11" i="1455"/>
  <c r="E28" i="1455"/>
  <c r="G28" i="1455"/>
  <c r="O20" i="1455"/>
  <c r="O26" i="1455"/>
  <c r="C49" i="1456"/>
  <c r="B7" i="1419"/>
  <c r="D122" i="1427"/>
  <c r="F42" i="1440"/>
  <c r="H24" i="1416"/>
  <c r="H27" i="1416" s="1"/>
  <c r="F76" i="1419"/>
  <c r="B23" i="1421"/>
  <c r="C45" i="1422"/>
  <c r="E16" i="1423"/>
  <c r="E23" i="1423" s="1"/>
  <c r="E23" i="1425"/>
  <c r="F34" i="1427"/>
  <c r="E35" i="1427"/>
  <c r="E41" i="1427"/>
  <c r="E48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E137" i="1427"/>
  <c r="E141" i="1427"/>
  <c r="E147" i="1427"/>
  <c r="E152" i="1427"/>
  <c r="E158" i="1427"/>
  <c r="C92" i="1429"/>
  <c r="E92" i="1429" s="1"/>
  <c r="D53" i="1430"/>
  <c r="E53" i="1430" s="1"/>
  <c r="G34" i="1419"/>
  <c r="G39" i="1419"/>
  <c r="G44" i="1419"/>
  <c r="D76" i="1419"/>
  <c r="D77" i="1419" s="1"/>
  <c r="E40" i="1423"/>
  <c r="E13" i="1425"/>
  <c r="F16" i="1427"/>
  <c r="E17" i="1427"/>
  <c r="E20" i="1427"/>
  <c r="F24" i="1427"/>
  <c r="E26" i="1427"/>
  <c r="F37" i="1427"/>
  <c r="E38" i="1427"/>
  <c r="F43" i="1427"/>
  <c r="E45" i="1427"/>
  <c r="E50" i="1427"/>
  <c r="E56" i="1427"/>
  <c r="F67" i="1427"/>
  <c r="F69" i="1427"/>
  <c r="F70" i="1427"/>
  <c r="E71" i="1427"/>
  <c r="E76" i="1427"/>
  <c r="C78" i="1427"/>
  <c r="G64" i="1458" s="1"/>
  <c r="G63" i="1458" s="1"/>
  <c r="E80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2"/>
  <c r="C38" i="1433"/>
  <c r="C43" i="1433" s="1"/>
  <c r="F14" i="1434"/>
  <c r="F15" i="1434"/>
  <c r="C38" i="1441"/>
  <c r="C43" i="1441" s="1"/>
  <c r="E9" i="1440"/>
  <c r="E32" i="1434"/>
  <c r="F32" i="1434" s="1"/>
  <c r="C47" i="1437"/>
  <c r="F50" i="1437"/>
  <c r="E27" i="1437"/>
  <c r="F27" i="1437" s="1"/>
  <c r="C38" i="1445"/>
  <c r="C43" i="1445" s="1"/>
  <c r="D13" i="1450"/>
  <c r="K40" i="1452"/>
  <c r="K68" i="1452" s="1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C39" i="1440"/>
  <c r="C38" i="1442"/>
  <c r="C43" i="1442" s="1"/>
  <c r="F24" i="1443"/>
  <c r="F25" i="1443"/>
  <c r="F32" i="1443"/>
  <c r="C39" i="1443"/>
  <c r="C47" i="1443"/>
  <c r="C59" i="1443" s="1"/>
  <c r="F50" i="1443"/>
  <c r="C38" i="1446"/>
  <c r="C43" i="1446" s="1"/>
  <c r="F21" i="1447"/>
  <c r="F48" i="1447"/>
  <c r="C58" i="1449"/>
  <c r="E58" i="1447" s="1"/>
  <c r="F58" i="1447" s="1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D31" i="1457"/>
  <c r="O24" i="1458"/>
  <c r="O42" i="1458"/>
  <c r="E67" i="1429"/>
  <c r="E78" i="1429"/>
  <c r="E81" i="1429"/>
  <c r="E136" i="1429"/>
  <c r="E143" i="1429"/>
  <c r="L62" i="1458"/>
  <c r="E18" i="1429"/>
  <c r="E25" i="1429"/>
  <c r="E52" i="1429"/>
  <c r="E85" i="1429"/>
  <c r="E32" i="1429"/>
  <c r="E46" i="1429"/>
  <c r="E69" i="1429"/>
  <c r="E119" i="1429"/>
  <c r="E132" i="1429"/>
  <c r="F114" i="1427"/>
  <c r="E15" i="1427"/>
  <c r="E30" i="1427"/>
  <c r="E120" i="1427"/>
  <c r="E118" i="1427"/>
  <c r="E116" i="1427"/>
  <c r="E115" i="1427"/>
  <c r="C92" i="1428"/>
  <c r="C156" i="1428"/>
  <c r="E58" i="1429"/>
  <c r="D58" i="1427"/>
  <c r="E9" i="1429"/>
  <c r="E63" i="1429"/>
  <c r="D63" i="1427"/>
  <c r="F63" i="1427" s="1"/>
  <c r="E101" i="1429"/>
  <c r="C96" i="1429"/>
  <c r="F27" i="1416"/>
  <c r="F12" i="1420"/>
  <c r="B13" i="1421"/>
  <c r="C23" i="1422"/>
  <c r="E8" i="1423"/>
  <c r="E13" i="1423" s="1"/>
  <c r="E10" i="1427"/>
  <c r="F11" i="1427"/>
  <c r="F14" i="1427"/>
  <c r="F19" i="1427"/>
  <c r="F21" i="1427"/>
  <c r="F23" i="1427"/>
  <c r="F27" i="1427"/>
  <c r="F29" i="1427"/>
  <c r="F31" i="1427"/>
  <c r="F36" i="1427"/>
  <c r="F39" i="1427"/>
  <c r="E43" i="1427"/>
  <c r="F44" i="1427"/>
  <c r="E46" i="1427"/>
  <c r="F47" i="1427"/>
  <c r="F49" i="1427"/>
  <c r="E52" i="1427"/>
  <c r="F53" i="1427"/>
  <c r="F55" i="1427"/>
  <c r="F57" i="1427"/>
  <c r="E60" i="1427"/>
  <c r="F62" i="1427"/>
  <c r="F65" i="1427"/>
  <c r="F72" i="1427"/>
  <c r="F75" i="1427"/>
  <c r="F77" i="1427"/>
  <c r="E81" i="1427"/>
  <c r="F83" i="1427"/>
  <c r="E85" i="1427"/>
  <c r="F86" i="1427"/>
  <c r="F88" i="1427"/>
  <c r="F90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F133" i="1427"/>
  <c r="F135" i="1427"/>
  <c r="F138" i="1427"/>
  <c r="F140" i="1427"/>
  <c r="F142" i="1427"/>
  <c r="F146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G72" i="1419"/>
  <c r="E39" i="1421"/>
  <c r="E45" i="1421" s="1"/>
  <c r="E46" i="1421" s="1"/>
  <c r="E38" i="1422"/>
  <c r="E45" i="1422" s="1"/>
  <c r="E17" i="1424"/>
  <c r="C40" i="1427"/>
  <c r="C58" i="1427"/>
  <c r="E69" i="1427"/>
  <c r="E114" i="1427"/>
  <c r="C122" i="1427"/>
  <c r="C143" i="1427"/>
  <c r="E148" i="1429"/>
  <c r="B15" i="1450"/>
  <c r="C38" i="1430"/>
  <c r="C47" i="1430"/>
  <c r="D48" i="1430"/>
  <c r="E48" i="1430" s="1"/>
  <c r="E49" i="1430"/>
  <c r="C9" i="1434"/>
  <c r="C47" i="1434"/>
  <c r="E9" i="1437"/>
  <c r="F9" i="1437" s="1"/>
  <c r="C39" i="1437"/>
  <c r="C53" i="1437"/>
  <c r="F53" i="1437" s="1"/>
  <c r="C9" i="1440"/>
  <c r="F53" i="1440"/>
  <c r="F53" i="1447"/>
  <c r="C38" i="1448"/>
  <c r="E9" i="1447"/>
  <c r="F9" i="1447" s="1"/>
  <c r="C134" i="1452"/>
  <c r="F63" i="1458"/>
  <c r="M63" i="1458"/>
  <c r="E16" i="1450"/>
  <c r="K15" i="1450"/>
  <c r="C38" i="1447"/>
  <c r="O15" i="1455"/>
  <c r="O18" i="1455"/>
  <c r="O32" i="1458"/>
  <c r="F40" i="1459"/>
  <c r="D10" i="1450"/>
  <c r="G68" i="1452"/>
  <c r="C92" i="1452"/>
  <c r="C28" i="1455"/>
  <c r="N63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0" i="1458"/>
  <c r="C62" i="1458" s="1"/>
  <c r="H10" i="1458"/>
  <c r="H12" i="1458"/>
  <c r="O21" i="1458"/>
  <c r="E60" i="1458"/>
  <c r="E62" i="1458" s="1"/>
  <c r="H58" i="1458"/>
  <c r="F39" i="1440" l="1"/>
  <c r="E113" i="1427"/>
  <c r="F29" i="1455"/>
  <c r="F25" i="1427"/>
  <c r="F39" i="1437"/>
  <c r="D47" i="1430"/>
  <c r="E63" i="1458"/>
  <c r="C38" i="1435"/>
  <c r="C43" i="1435" s="1"/>
  <c r="E43" i="1434" s="1"/>
  <c r="E148" i="1427"/>
  <c r="E145" i="1427"/>
  <c r="F39" i="1443"/>
  <c r="E43" i="1437"/>
  <c r="G93" i="1452"/>
  <c r="E51" i="1427"/>
  <c r="D101" i="1427"/>
  <c r="F101" i="1427" s="1"/>
  <c r="D92" i="1427"/>
  <c r="F93" i="1452"/>
  <c r="F42" i="1427"/>
  <c r="F32" i="1427"/>
  <c r="I68" i="1452"/>
  <c r="I93" i="1452" s="1"/>
  <c r="F59" i="1447"/>
  <c r="E47" i="1447"/>
  <c r="F47" i="1447" s="1"/>
  <c r="C59" i="1438"/>
  <c r="E59" i="1437" s="1"/>
  <c r="F132" i="1427"/>
  <c r="E40" i="1429"/>
  <c r="C68" i="1428"/>
  <c r="C93" i="1428" s="1"/>
  <c r="D12" i="1427"/>
  <c r="C160" i="1452"/>
  <c r="E38" i="1440"/>
  <c r="E23" i="1424"/>
  <c r="C92" i="1427"/>
  <c r="E82" i="1427"/>
  <c r="C68" i="1429"/>
  <c r="C93" i="1429" s="1"/>
  <c r="E93" i="1429" s="1"/>
  <c r="F136" i="1427"/>
  <c r="G29" i="1455"/>
  <c r="F66" i="1427"/>
  <c r="E33" i="1427"/>
  <c r="E39" i="1430"/>
  <c r="D38" i="1430"/>
  <c r="E38" i="1430" s="1"/>
  <c r="E37" i="1447"/>
  <c r="F37" i="1447" s="1"/>
  <c r="C15" i="1450"/>
  <c r="C16" i="1450" s="1"/>
  <c r="L64" i="1458" s="1"/>
  <c r="L63" i="1458" s="1"/>
  <c r="E38" i="1437"/>
  <c r="F38" i="1437" s="1"/>
  <c r="E18" i="1427"/>
  <c r="C43" i="1444"/>
  <c r="E43" i="1443" s="1"/>
  <c r="G45" i="1423"/>
  <c r="F59" i="1440"/>
  <c r="E32" i="1427"/>
  <c r="E9" i="1427"/>
  <c r="F9" i="1427"/>
  <c r="B77" i="1419"/>
  <c r="E59" i="1443"/>
  <c r="F59" i="1443" s="1"/>
  <c r="F47" i="1437"/>
  <c r="D117" i="1427"/>
  <c r="E78" i="1427"/>
  <c r="E13" i="1427"/>
  <c r="K93" i="1452"/>
  <c r="K160" i="1452"/>
  <c r="E43" i="1440"/>
  <c r="I29" i="1455"/>
  <c r="O60" i="1458"/>
  <c r="E47" i="1443"/>
  <c r="F47" i="1443" s="1"/>
  <c r="C43" i="1443"/>
  <c r="D43" i="1430"/>
  <c r="E61" i="1427"/>
  <c r="C59" i="1435"/>
  <c r="E59" i="1434" s="1"/>
  <c r="E45" i="1423"/>
  <c r="G62" i="1419"/>
  <c r="E29" i="1455"/>
  <c r="D93" i="1452"/>
  <c r="J160" i="1452"/>
  <c r="E68" i="1452"/>
  <c r="E93" i="1452" s="1"/>
  <c r="J93" i="1452"/>
  <c r="G76" i="1419"/>
  <c r="D160" i="1452"/>
  <c r="D29" i="1455"/>
  <c r="F77" i="1419"/>
  <c r="D59" i="1430"/>
  <c r="E38" i="1443"/>
  <c r="F38" i="1443" s="1"/>
  <c r="I160" i="1452"/>
  <c r="C43" i="1437"/>
  <c r="F43" i="1437" s="1"/>
  <c r="F78" i="1427"/>
  <c r="O62" i="1458"/>
  <c r="O16" i="1455"/>
  <c r="C43" i="1447"/>
  <c r="C38" i="1440"/>
  <c r="F9" i="1440"/>
  <c r="C38" i="1434"/>
  <c r="F9" i="1434"/>
  <c r="C43" i="1430"/>
  <c r="B16" i="1450"/>
  <c r="E143" i="1427"/>
  <c r="F143" i="1427"/>
  <c r="E122" i="1427"/>
  <c r="C117" i="1427"/>
  <c r="F122" i="1427"/>
  <c r="E58" i="1427"/>
  <c r="F58" i="1427"/>
  <c r="D96" i="1427"/>
  <c r="C131" i="1429"/>
  <c r="D131" i="1427" s="1"/>
  <c r="E96" i="1429"/>
  <c r="E63" i="1427"/>
  <c r="D156" i="1427"/>
  <c r="H60" i="1458"/>
  <c r="H62" i="1458" s="1"/>
  <c r="O28" i="1455"/>
  <c r="C93" i="1452"/>
  <c r="C29" i="1455"/>
  <c r="K16" i="1450"/>
  <c r="C43" i="1448"/>
  <c r="E43" i="1447" s="1"/>
  <c r="E38" i="1447"/>
  <c r="F38" i="1447" s="1"/>
  <c r="C59" i="1437"/>
  <c r="C59" i="1434"/>
  <c r="F47" i="1434"/>
  <c r="C59" i="1430"/>
  <c r="E47" i="1430"/>
  <c r="C156" i="1427"/>
  <c r="C68" i="1427"/>
  <c r="E40" i="1427"/>
  <c r="F40" i="1427"/>
  <c r="J64" i="1458"/>
  <c r="C64" i="1458"/>
  <c r="H64" i="1458" s="1"/>
  <c r="C157" i="1428"/>
  <c r="E38" i="1434" l="1"/>
  <c r="F92" i="1427"/>
  <c r="E68" i="1429"/>
  <c r="D15" i="1450"/>
  <c r="D16" i="1450" s="1"/>
  <c r="E92" i="1427"/>
  <c r="E101" i="1427"/>
  <c r="F59" i="1437"/>
  <c r="D93" i="1427"/>
  <c r="G77" i="1419"/>
  <c r="D68" i="1427"/>
  <c r="F12" i="1427"/>
  <c r="E12" i="1427"/>
  <c r="E59" i="1430"/>
  <c r="F59" i="1434"/>
  <c r="E43" i="1430"/>
  <c r="F43" i="1443"/>
  <c r="J63" i="1458"/>
  <c r="E156" i="1427"/>
  <c r="F156" i="1427"/>
  <c r="C63" i="1458"/>
  <c r="C157" i="1429"/>
  <c r="E157" i="1429" s="1"/>
  <c r="E131" i="1429"/>
  <c r="O29" i="1455"/>
  <c r="E68" i="1427"/>
  <c r="C93" i="1427"/>
  <c r="F68" i="1427"/>
  <c r="H63" i="1458"/>
  <c r="E96" i="1427"/>
  <c r="F96" i="1427"/>
  <c r="K64" i="1458"/>
  <c r="K63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0" i="1458"/>
  <c r="C157" i="1427" l="1"/>
  <c r="F131" i="1427"/>
  <c r="E131" i="1427"/>
  <c r="F93" i="1427"/>
  <c r="E93" i="1427"/>
  <c r="O64" i="1458"/>
  <c r="O63" i="1458" s="1"/>
  <c r="D157" i="1427"/>
  <c r="E157" i="1427" l="1"/>
  <c r="F157" i="1427"/>
  <c r="C104" i="1360" l="1"/>
  <c r="D118" i="1359"/>
  <c r="D15" i="1359"/>
  <c r="D63" i="1358"/>
  <c r="D17" i="1358"/>
  <c r="D16" i="1358"/>
  <c r="D13" i="1358"/>
  <c r="D12" i="1358"/>
  <c r="D63" i="1357"/>
  <c r="D16" i="1357"/>
  <c r="D17" i="1357"/>
  <c r="D13" i="1357"/>
  <c r="D12" i="1357"/>
  <c r="A1" i="1360" l="1"/>
  <c r="D81" i="1358" l="1"/>
  <c r="F48" i="1358"/>
  <c r="F47" i="1358"/>
  <c r="D39" i="1358"/>
  <c r="D81" i="1357"/>
  <c r="F48" i="1357"/>
  <c r="F47" i="1357"/>
  <c r="C47" i="1357" s="1"/>
  <c r="D39" i="1357"/>
  <c r="D63" i="1359" l="1"/>
  <c r="C16" i="1359"/>
  <c r="D14" i="1359"/>
  <c r="C15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84" i="1357"/>
  <c r="D69" i="1357"/>
  <c r="D68" i="1357"/>
  <c r="F26" i="1357"/>
  <c r="F25" i="1357"/>
  <c r="D18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D118" i="1358" l="1"/>
  <c r="A11" i="1413" l="1"/>
  <c r="A4" i="1413"/>
  <c r="F26" i="1358" l="1"/>
  <c r="F25" i="1358"/>
  <c r="E106" i="1359"/>
  <c r="F106" i="1359"/>
  <c r="E106" i="1358"/>
  <c r="F106" i="1358"/>
  <c r="F125" i="1358"/>
  <c r="F123" i="1358"/>
  <c r="C123" i="1358" s="1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F42" i="1357" l="1"/>
  <c r="E42" i="1357"/>
  <c r="D106" i="1359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7" i="1357" l="1"/>
  <c r="H115" i="1357"/>
  <c r="H113" i="1357"/>
  <c r="H111" i="1357"/>
  <c r="H109" i="1357"/>
  <c r="H107" i="1357"/>
  <c r="H118" i="1357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C124" i="1358"/>
  <c r="E122" i="1358"/>
  <c r="D122" i="1358"/>
  <c r="C105" i="1358"/>
  <c r="H105" i="1357" s="1"/>
  <c r="C104" i="1358"/>
  <c r="C103" i="1358"/>
  <c r="C102" i="1358"/>
  <c r="E101" i="1358"/>
  <c r="E136" i="1358" s="1"/>
  <c r="C99" i="1358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H45" i="1452"/>
  <c r="C46" i="1357"/>
  <c r="H44" i="1452" s="1"/>
  <c r="C45" i="1357"/>
  <c r="H43" i="1452" s="1"/>
  <c r="C44" i="1357"/>
  <c r="H42" i="1452" s="1"/>
  <c r="C43" i="1357"/>
  <c r="H41" i="1452" s="1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C42" i="1357" l="1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39" i="1357"/>
  <c r="I39" i="1357" s="1"/>
  <c r="H41" i="1357"/>
  <c r="I41" i="1357" s="1"/>
  <c r="H99" i="1357"/>
  <c r="H21" i="1357"/>
  <c r="I21" i="1357" s="1"/>
  <c r="H23" i="1357"/>
  <c r="I23" i="1357" s="1"/>
  <c r="H36" i="1357"/>
  <c r="I36" i="1357" s="1"/>
  <c r="H38" i="1357"/>
  <c r="I38" i="1357" s="1"/>
  <c r="H40" i="1357"/>
  <c r="I40" i="1357" s="1"/>
  <c r="H103" i="1357"/>
  <c r="I103" i="1357" s="1"/>
  <c r="H125" i="1357"/>
  <c r="I125" i="1357" s="1"/>
  <c r="H104" i="1357"/>
  <c r="I104" i="1357" s="1"/>
  <c r="H102" i="1357"/>
  <c r="I102" i="1357" s="1"/>
  <c r="P23" i="1455"/>
  <c r="Q23" i="1455" s="1"/>
  <c r="H121" i="1452"/>
  <c r="F78" i="1419"/>
  <c r="F79" i="1419" s="1"/>
  <c r="H123" i="1452"/>
  <c r="P24" i="1455"/>
  <c r="Q24" i="1455" s="1"/>
  <c r="E27" i="1420"/>
  <c r="P19" i="1455"/>
  <c r="Q19" i="1455" s="1"/>
  <c r="H101" i="1452"/>
  <c r="P18" i="1455"/>
  <c r="H100" i="1452"/>
  <c r="H44" i="1357"/>
  <c r="H69" i="1357"/>
  <c r="I69" i="1357" s="1"/>
  <c r="H124" i="1357"/>
  <c r="I124" i="1357" s="1"/>
  <c r="C26" i="1361"/>
  <c r="E27" i="1361"/>
  <c r="E28" i="1361" s="1"/>
  <c r="D14" i="1413" s="1"/>
  <c r="H46" i="1357"/>
  <c r="I46" i="1357" s="1"/>
  <c r="H50" i="1357"/>
  <c r="I50" i="1357" s="1"/>
  <c r="H52" i="1357"/>
  <c r="I52" i="1357" s="1"/>
  <c r="H55" i="1357"/>
  <c r="I55" i="1357" s="1"/>
  <c r="H57" i="1357"/>
  <c r="I57" i="1357" s="1"/>
  <c r="H59" i="1357"/>
  <c r="I59" i="1357" s="1"/>
  <c r="H62" i="1357"/>
  <c r="H64" i="1357"/>
  <c r="I64" i="1357" s="1"/>
  <c r="H67" i="1357"/>
  <c r="I67" i="1357" s="1"/>
  <c r="H73" i="1357"/>
  <c r="I73" i="1357" s="1"/>
  <c r="H76" i="1357"/>
  <c r="I76" i="1357" s="1"/>
  <c r="H78" i="1357"/>
  <c r="I78" i="1357" s="1"/>
  <c r="H81" i="1357"/>
  <c r="I81" i="1357" s="1"/>
  <c r="H84" i="1357"/>
  <c r="I84" i="1357" s="1"/>
  <c r="H86" i="1357"/>
  <c r="I86" i="1357" s="1"/>
  <c r="H89" i="1357"/>
  <c r="I89" i="1357" s="1"/>
  <c r="H91" i="1357"/>
  <c r="I91" i="1357" s="1"/>
  <c r="H93" i="1357"/>
  <c r="I93" i="1357" s="1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C20" i="1359"/>
  <c r="C27" i="1359"/>
  <c r="C42" i="1359"/>
  <c r="C65" i="1359"/>
  <c r="E94" i="1359"/>
  <c r="C75" i="1359"/>
  <c r="C80" i="1359"/>
  <c r="C83" i="1359"/>
  <c r="C148" i="1359"/>
  <c r="D161" i="1357"/>
  <c r="C137" i="1357"/>
  <c r="H135" i="1452" s="1"/>
  <c r="C20" i="1357"/>
  <c r="I43" i="1357"/>
  <c r="C11" i="1357"/>
  <c r="E161" i="1357"/>
  <c r="C83" i="1358"/>
  <c r="I88" i="1357"/>
  <c r="I92" i="1357"/>
  <c r="C122" i="1358"/>
  <c r="C153" i="1358"/>
  <c r="D94" i="1359"/>
  <c r="C94" i="1360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C75" i="1358"/>
  <c r="E161" i="1358"/>
  <c r="E162" i="1358" s="1"/>
  <c r="C141" i="1358"/>
  <c r="C148" i="1358"/>
  <c r="I151" i="1357"/>
  <c r="C60" i="1359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E136" i="1357"/>
  <c r="C122" i="1357"/>
  <c r="H120" i="1452" s="1"/>
  <c r="C136" i="1360"/>
  <c r="I17" i="1357"/>
  <c r="I18" i="1357"/>
  <c r="I25" i="1357"/>
  <c r="I32" i="1357"/>
  <c r="I33" i="1357"/>
  <c r="I74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C62" i="1357"/>
  <c r="H60" i="1452" s="1"/>
  <c r="D60" i="1357"/>
  <c r="H60" i="1357" l="1"/>
  <c r="H71" i="1357"/>
  <c r="I71" i="1357" s="1"/>
  <c r="H75" i="1357"/>
  <c r="H153" i="1357"/>
  <c r="I153" i="1357" s="1"/>
  <c r="H54" i="1357"/>
  <c r="I54" i="1357" s="1"/>
  <c r="C167" i="1360"/>
  <c r="H65" i="1357"/>
  <c r="H87" i="1357"/>
  <c r="I87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I83" i="1357" s="1"/>
  <c r="H20" i="1357"/>
  <c r="I20" i="1357" s="1"/>
  <c r="H80" i="1357"/>
  <c r="I80" i="1357" s="1"/>
  <c r="H34" i="1357"/>
  <c r="I34" i="1357" s="1"/>
  <c r="E95" i="1359"/>
  <c r="H127" i="1357"/>
  <c r="I127" i="1357" s="1"/>
  <c r="H141" i="1357"/>
  <c r="I141" i="1357" s="1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7" i="1413" s="1"/>
  <c r="D162" i="1359"/>
  <c r="C70" i="1359"/>
  <c r="C27" i="1358"/>
  <c r="H27" i="1357" s="1"/>
  <c r="I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62" i="1357"/>
  <c r="C136" i="1359"/>
  <c r="E95" i="1357"/>
  <c r="E16" i="1362"/>
  <c r="C161" i="1358"/>
  <c r="C161" i="1357"/>
  <c r="C94" i="1358"/>
  <c r="D162" i="1357"/>
  <c r="I137" i="1357"/>
  <c r="E95" i="1358"/>
  <c r="C161" i="1359"/>
  <c r="D95" i="1359"/>
  <c r="C136" i="1357"/>
  <c r="H134" i="1452" s="1"/>
  <c r="C162" i="1360"/>
  <c r="C95" i="1360"/>
  <c r="C166" i="1360"/>
  <c r="D70" i="1358"/>
  <c r="C11" i="1358"/>
  <c r="D101" i="1358"/>
  <c r="D70" i="1357"/>
  <c r="H94" i="1357" l="1"/>
  <c r="I94" i="1357" s="1"/>
  <c r="P27" i="1455"/>
  <c r="H159" i="1452"/>
  <c r="P15" i="1455"/>
  <c r="Q15" i="1455" s="1"/>
  <c r="H92" i="1452"/>
  <c r="H58" i="1452"/>
  <c r="P13" i="1455"/>
  <c r="Q13" i="1455" s="1"/>
  <c r="Q8" i="1455"/>
  <c r="H161" i="1357"/>
  <c r="I161" i="1357" s="1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6" i="1413" l="1"/>
  <c r="E33" i="1362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<sst xmlns="http://schemas.openxmlformats.org/spreadsheetml/2006/main" count="6551" uniqueCount="1048">
  <si>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</si>
  <si>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</si>
  <si>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</si>
  <si>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</si>
  <si>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</si>
  <si>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</si>
  <si>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</si>
  <si>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</si>
  <si>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</si>
  <si>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</si>
  <si>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</si>
  <si>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</si>
  <si>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</si>
  <si>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</si>
  <si>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</si>
  <si>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</si>
  <si>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</si>
  <si>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</si>
  <si>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</si>
  <si>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</si>
  <si>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</si>
  <si>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</si>
  <si>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</si>
  <si>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</si>
  <si>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</si>
  <si>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</si>
  <si>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</si>
  <si>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</si>
  <si>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</si>
  <si>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</si>
  <si>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</si>
  <si>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</si>
  <si>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</si>
  <si>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</si>
  <si>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</si>
  <si>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</si>
  <si>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</si>
  <si>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</si>
  <si>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</si>
  <si>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</si>
  <si>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</si>
  <si>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</si>
  <si>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</si>
  <si>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</si>
  <si>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</si>
  <si>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</si>
  <si>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</si>
  <si>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</si>
  <si>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</si>
  <si>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</si>
  <si>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</si>
  <si>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</si>
  <si>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</si>
  <si>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</si>
  <si>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</si>
  <si>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</si>
  <si>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</si>
  <si>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</si>
  <si>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</si>
  <si>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</si>
  <si>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</si>
  <si>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</si>
  <si>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</si>
  <si>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</si>
  <si>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</si>
  <si>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</si>
  <si>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</si>
  <si>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</si>
  <si>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</si>
  <si>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</si>
  <si>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</si>
  <si>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</si>
  <si>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</si>
  <si>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</si>
  <si>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</si>
  <si>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</si>
  <si>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</si>
  <si>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</si>
  <si>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</si>
  <si>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</si>
  <si>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</si>
  <si>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</si>
  <si>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</si>
  <si>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</si>
  <si>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</si>
  <si>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</si>
  <si>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</si>
  <si>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</si>
  <si>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</si>
  <si>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</si>
  <si>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</si>
  <si>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</si>
  <si>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</si>
  <si>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</si>
  <si>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</si>
  <si>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</si>
  <si>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</si>
  <si>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</si>
  <si>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</si>
  <si>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</si>
  <si>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</si>
  <si>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</si>
  <si>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</si>
  <si>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</si>
  <si>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</si>
  <si>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</si>
  <si>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</si>
  <si>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</si>
  <si>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</si>
  <si>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</si>
  <si>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</si>
  <si>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</si>
  <si>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</si>
  <si>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</si>
  <si>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</si>
  <si>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</si>
  <si>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</si>
  <si>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</si>
  <si>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</si>
  <si>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</si>
  <si>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</si>
  <si>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</si>
  <si>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</si>
  <si>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</si>
  <si>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</si>
  <si>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</si>
  <si>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</si>
  <si>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</si>
  <si>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</si>
  <si>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</si>
  <si>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</si>
  <si>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</si>
  <si>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</si>
  <si>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</si>
  <si>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</si>
  <si>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</si>
  <si>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</si>
  <si>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</si>
  <si>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</si>
  <si>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</si>
  <si>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</si>
  <si>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</si>
  <si>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</si>
  <si>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</si>
  <si>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</si>
  <si>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</si>
  <si>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</si>
  <si>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</si>
  <si>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</si>
  <si>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</si>
  <si>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</si>
  <si>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</si>
  <si>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</si>
  <si>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</si>
  <si>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</si>
  <si>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</si>
  <si>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</si>
  <si>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</si>
  <si>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</si>
  <si>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</si>
  <si>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</si>
  <si>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</si>
  <si>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</si>
  <si>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</si>
  <si>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</si>
  <si>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</si>
  <si>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</si>
  <si>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</si>
  <si>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</si>
  <si>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</si>
  <si>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</si>
  <si>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</si>
  <si>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</si>
  <si>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</si>
  <si>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</si>
  <si>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</si>
  <si>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</si>
  <si>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</si>
  <si>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</si>
  <si>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</si>
  <si>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</si>
  <si>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</si>
  <si>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</si>
  <si>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</si>
  <si>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</si>
  <si>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</si>
  <si>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</si>
  <si>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</si>
  <si>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</si>
  <si>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</si>
  <si>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</si>
  <si>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</si>
  <si>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</si>
  <si>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</si>
  <si>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</si>
  <si>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</si>
  <si>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</si>
  <si>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</si>
  <si>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</si>
  <si>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</si>
  <si>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</si>
  <si>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</si>
  <si>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</si>
  <si>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</si>
  <si>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</si>
  <si>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</si>
  <si>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</si>
  <si>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</si>
  <si>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</si>
  <si>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</si>
  <si>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</si>
  <si>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</si>
  <si>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</si>
  <si>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</si>
  <si>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</si>
  <si>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</si>
  <si>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</si>
  <si>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</si>
  <si>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</si>
  <si>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</si>
  <si>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</si>
  <si>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</si>
  <si>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</si>
  <si>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</si>
  <si>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</si>
  <si>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</si>
  <si>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</si>
  <si>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</si>
  <si>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</si>
  <si>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</si>
  <si>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</si>
  <si>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</si>
  <si>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</si>
  <si>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</si>
  <si>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</si>
  <si>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</si>
  <si>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</si>
  <si>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</si>
  <si>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</si>
  <si>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</si>
  <si>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</si>
  <si>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</si>
  <si>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</si>
  <si>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</si>
  <si>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</si>
  <si>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</si>
  <si>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</si>
  <si>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</si>
  <si>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</si>
  <si>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</si>
  <si>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</si>
  <si>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</si>
  <si>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</si>
  <si>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</si>
  <si>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</si>
  <si>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</si>
  <si>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</si>
  <si>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</si>
  <si>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</si>
  <si>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</si>
  <si>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</si>
  <si>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</si>
  <si>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</si>
  <si>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</si>
  <si>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</si>
  <si>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</si>
  <si>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</si>
  <si>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</si>
  <si>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</si>
  <si>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</si>
  <si>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</si>
  <si>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</si>
  <si>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</si>
  <si>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</si>
  <si>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</si>
  <si>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</si>
  <si>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</si>
  <si>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</si>
  <si>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</si>
  <si>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</si>
  <si>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</si>
  <si>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</si>
  <si>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</si>
  <si>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</si>
  <si>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</si>
  <si>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</si>
  <si>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</si>
  <si>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</si>
  <si>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</si>
  <si>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</si>
  <si>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</si>
  <si>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</si>
  <si>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</si>
  <si>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</si>
  <si>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</si>
  <si>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</si>
  <si>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</si>
  <si>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</si>
  <si>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</si>
  <si>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</si>
  <si>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</si>
  <si>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</si>
  <si>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</si>
  <si>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</si>
  <si>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</si>
  <si>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</si>
  <si>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</si>
  <si>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</si>
  <si>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</si>
  <si>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</si>
  <si>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</si>
  <si>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</si>
  <si>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</si>
  <si>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</si>
  <si>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</si>
  <si>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</si>
  <si>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</si>
  <si>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</si>
  <si>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</si>
  <si>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</si>
  <si>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</si>
  <si>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</si>
  <si>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</si>
  <si>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</si>
  <si>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</si>
  <si>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</si>
  <si>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</si>
  <si>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</si>
  <si>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</si>
  <si>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</si>
  <si>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</si>
  <si>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</si>
  <si>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</si>
  <si>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</si>
  <si>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</si>
  <si>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</si>
  <si>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</si>
  <si>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</si>
  <si>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</si>
  <si>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</si>
  <si>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</si>
  <si>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</si>
  <si>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</si>
  <si>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</si>
  <si>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</si>
  <si>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</si>
  <si>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</si>
  <si>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</si>
  <si>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</si>
  <si>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</si>
  <si>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</si>
  <si>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</si>
  <si>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</si>
  <si>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</si>
  <si>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</si>
  <si>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</si>
  <si>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</si>
  <si>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</si>
  <si>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</si>
  <si>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</si>
  <si>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</si>
  <si>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</si>
  <si>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</si>
  <si>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</si>
  <si>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</si>
  <si>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</si>
  <si>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</si>
  <si>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</si>
  <si>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</si>
  <si>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</si>
  <si>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</si>
  <si>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</si>
  <si>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</si>
  <si>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</si>
  <si>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</si>
  <si>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</si>
  <si>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</si>
  <si>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</si>
  <si>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</si>
  <si>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</si>
  <si>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</si>
  <si>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</si>
  <si>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</si>
  <si>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</si>
  <si>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</si>
  <si>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</si>
  <si>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</si>
  <si>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</si>
  <si>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</si>
  <si>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</si>
  <si>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</si>
  <si>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</si>
  <si>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</si>
  <si>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</si>
  <si>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</si>
  <si>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</si>
  <si>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</si>
  <si>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</si>
  <si>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</si>
  <si>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</si>
  <si>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</si>
  <si>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</si>
  <si>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</si>
  <si>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</si>
  <si>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</si>
  <si>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</si>
  <si>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</si>
  <si>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</si>
  <si>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</si>
  <si>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</si>
  <si>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</si>
  <si>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</si>
  <si>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</si>
  <si>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</si>
  <si>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</si>
  <si>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</si>
  <si>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</si>
  <si>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</si>
  <si>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</si>
  <si>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</si>
  <si>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</si>
  <si>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</si>
  <si>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</si>
  <si>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</si>
  <si>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</si>
  <si>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</si>
  <si>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</si>
  <si>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</si>
  <si>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</si>
  <si>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</si>
  <si>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</si>
  <si>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</si>
  <si>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</si>
  <si>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</si>
  <si>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</si>
  <si>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</si>
  <si>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</si>
  <si>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</si>
  <si>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</si>
  <si>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</si>
  <si>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</si>
  <si>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</si>
  <si>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</si>
  <si>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</si>
  <si>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</si>
  <si>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</si>
  <si>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</si>
  <si>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</si>
  <si>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</si>
  <si>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</si>
  <si>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</si>
  <si>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</si>
  <si>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</si>
  <si>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</si>
  <si>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</si>
  <si>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</si>
  <si>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</si>
  <si>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</si>
  <si>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</si>
  <si>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</si>
  <si>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</si>
  <si>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</si>
  <si>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</si>
  <si>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</si>
  <si>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</si>
  <si>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</si>
  <si>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</si>
  <si>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</si>
  <si>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</si>
  <si>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</si>
  <si>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</si>
  <si>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</si>
  <si>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</si>
  <si>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</si>
  <si>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</si>
  <si>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</si>
  <si>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</si>
  <si>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</si>
  <si>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</si>
  <si>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</si>
  <si>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</si>
  <si>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</si>
  <si>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</si>
  <si>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</si>
  <si>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</si>
  <si>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</si>
  <si>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</si>
  <si>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</si>
  <si>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</si>
  <si>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</si>
  <si>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</si>
  <si>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</si>
  <si>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</si>
  <si>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</si>
  <si>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</si>
  <si>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</si>
  <si>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</si>
  <si>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</si>
  <si>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</si>
  <si>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</si>
  <si>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</si>
  <si>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</si>
  <si>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</si>
  <si>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</si>
  <si>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</si>
  <si>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</si>
  <si>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</si>
  <si>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</si>
  <si>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</si>
  <si>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</si>
  <si>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</si>
  <si>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</si>
  <si>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</si>
  <si>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</si>
  <si>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</si>
  <si>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</si>
  <si>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</si>
  <si>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</si>
  <si>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</si>
  <si>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</si>
  <si>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</si>
  <si>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</si>
  <si>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</si>
  <si>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</si>
  <si>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</si>
  <si>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</si>
  <si>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</si>
  <si>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</si>
  <si>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</si>
  <si>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</si>
  <si>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</si>
  <si>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</si>
  <si>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</si>
  <si>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</si>
  <si>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</si>
  <si>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</si>
  <si>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</si>
  <si>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</si>
  <si>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</si>
  <si>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</si>
  <si>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</si>
  <si>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</si>
  <si>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</si>
  <si>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</si>
  <si>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</si>
  <si>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</si>
  <si>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</si>
  <si>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</si>
  <si>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</si>
  <si>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</si>
  <si>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</si>
  <si>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</si>
  <si>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</si>
  <si>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</si>
  <si>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</si>
  <si>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</si>
  <si>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</si>
  <si>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</si>
  <si>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</si>
  <si>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</si>
  <si>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</si>
  <si>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</si>
  <si>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</si>
  <si>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</si>
  <si>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</si>
  <si>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</si>
  <si>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</si>
  <si>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</si>
  <si>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</si>
  <si>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</si>
  <si>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</si>
  <si>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</si>
  <si>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</si>
  <si>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</si>
  <si>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</si>
  <si>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</si>
  <si>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</si>
  <si>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</si>
  <si>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</si>
  <si>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</si>
  <si>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</si>
  <si>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</si>
  <si>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</si>
  <si>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</si>
  <si>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</si>
  <si>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</si>
  <si>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</si>
  <si>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</si>
  <si>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</si>
  <si>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</si>
  <si>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</si>
  <si>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</si>
  <si>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</si>
  <si>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</si>
  <si>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</si>
  <si>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</si>
  <si>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</si>
  <si>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</si>
  <si>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</si>
  <si>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</si>
  <si>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</si>
  <si>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</si>
  <si>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</si>
  <si>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</si>
  <si>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</si>
  <si>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</si>
  <si>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</si>
  <si>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</si>
  <si>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</si>
  <si>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</si>
  <si>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</si>
  <si>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</si>
  <si>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</si>
  <si>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</si>
  <si>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</si>
  <si>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</si>
  <si>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</si>
  <si>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</si>
  <si>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</si>
  <si>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</si>
  <si>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</si>
  <si>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</si>
  <si>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</si>
  <si>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</si>
  <si>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</si>
  <si>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</si>
  <si>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</si>
  <si>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</si>
  <si>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</si>
  <si>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</si>
  <si>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</si>
  <si>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</si>
  <si>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</si>
  <si>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</si>
  <si>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</si>
  <si>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</si>
  <si>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</si>
  <si>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</si>
  <si>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</si>
  <si>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</si>
  <si>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</si>
  <si>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</si>
  <si>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</si>
  <si>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</si>
  <si>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</si>
  <si>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</si>
  <si>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</si>
  <si>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</si>
  <si>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</si>
  <si>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</si>
  <si>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</si>
  <si>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</si>
  <si>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</si>
  <si>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</si>
  <si>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</si>
  <si>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</si>
  <si>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</si>
  <si>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</si>
  <si>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</si>
  <si>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</si>
  <si>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</si>
  <si>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</si>
  <si>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</si>
  <si>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</si>
  <si>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</si>
  <si>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</si>
  <si>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</si>
  <si>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</si>
  <si>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</si>
  <si>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</si>
  <si>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</si>
  <si>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</si>
  <si>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</si>
  <si>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</si>
  <si>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</si>
  <si>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</si>
  <si>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</si>
  <si>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</si>
  <si>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</si>
  <si>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</si>
  <si>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</si>
  <si>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</si>
  <si>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</si>
  <si>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</si>
  <si>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</si>
  <si>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</si>
  <si>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</si>
  <si>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</si>
  <si>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</si>
  <si>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</si>
  <si>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</si>
  <si>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</si>
  <si>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</si>
  <si>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</si>
  <si>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</si>
  <si>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</si>
  <si>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</si>
  <si>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</si>
  <si>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</si>
  <si>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</si>
  <si>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</si>
  <si>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</si>
  <si>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</si>
  <si>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</si>
  <si>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</si>
  <si>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</si>
  <si>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</si>
  <si>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</si>
  <si>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</si>
  <si>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</si>
  <si>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</si>
  <si>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</si>
  <si>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</si>
  <si>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</si>
  <si>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</si>
  <si>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</si>
  <si>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</si>
  <si>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</si>
  <si>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</si>
  <si>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</si>
  <si>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</si>
  <si>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</si>
  <si>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</si>
  <si>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</si>
  <si>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</si>
  <si>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</si>
  <si>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</si>
  <si>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</si>
  <si>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</si>
  <si>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</si>
  <si>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</si>
  <si>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</si>
  <si>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</si>
  <si>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</si>
  <si>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</si>
  <si>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</si>
  <si>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</si>
  <si>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</si>
  <si>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</si>
  <si>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</si>
  <si>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</si>
  <si>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</si>
  <si>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</si>
  <si>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</si>
  <si>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</si>
  <si>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</si>
  <si>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</si>
  <si>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</si>
  <si>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</si>
  <si>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</si>
  <si>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</si>
  <si>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</si>
  <si>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</si>
  <si>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</si>
  <si>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</si>
  <si>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</si>
  <si>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</si>
  <si>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</si>
  <si>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</si>
  <si>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</si>
  <si>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</si>
  <si>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</si>
  <si>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</si>
  <si>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</si>
  <si>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</si>
  <si>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</si>
  <si>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</si>
  <si>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</si>
  <si>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</si>
  <si>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</si>
  <si>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</si>
  <si>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</si>
  <si>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</si>
  <si>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</si>
  <si>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</si>
  <si>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</si>
  <si>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</si>
  <si>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</si>
  <si>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</si>
  <si>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</si>
  <si>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</si>
  <si>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</si>
  <si>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</si>
  <si>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</si>
  <si>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</si>
  <si>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</si>
  <si>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</si>
  <si>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</si>
  <si>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</si>
  <si>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</si>
  <si>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</si>
  <si>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</si>
  <si>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</si>
  <si>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</si>
  <si>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</si>
  <si>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</si>
  <si>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</si>
  <si>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</si>
  <si>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</si>
  <si>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</si>
  <si>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</si>
  <si>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</si>
  <si>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</si>
  <si>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</si>
  <si>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</si>
  <si>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</si>
  <si>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</si>
  <si>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</si>
  <si>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</si>
  <si>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</si>
  <si>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</si>
  <si>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</si>
  <si>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</si>
  <si>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</si>
  <si>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</si>
  <si>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</si>
  <si>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</si>
  <si>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</si>
  <si>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</si>
  <si>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</si>
  <si>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</si>
  <si>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</si>
  <si>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</si>
  <si>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</si>
  <si>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</si>
  <si>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</si>
  <si>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</si>
  <si>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</si>
  <si>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</si>
  <si>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</si>
  <si>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</si>
  <si>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</si>
  <si>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</si>
  <si>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</si>
  <si>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</si>
  <si>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</si>
  <si>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</si>
  <si>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</si>
  <si>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</si>
  <si>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</si>
  <si>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</si>
  <si>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</si>
  <si>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</si>
  <si>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</si>
  <si>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</si>
  <si>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</si>
  <si>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</si>
  <si>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</si>
  <si>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</si>
  <si>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</si>
  <si>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</si>
  <si>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</si>
  <si>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</si>
  <si>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</si>
  <si>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</si>
  <si>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</si>
  <si>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</si>
  <si>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</si>
  <si>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</si>
  <si>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</si>
  <si>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</si>
  <si>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</si>
  <si>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</si>
  <si>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</si>
  <si>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</si>
  <si>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</si>
  <si>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</si>
  <si>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</si>
  <si>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</si>
  <si>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</si>
  <si>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</si>
  <si>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</si>
  <si>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</si>
  <si>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</si>
  <si>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</si>
  <si>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</si>
  <si>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</si>
  <si>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</si>
  <si>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</si>
  <si>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</si>
  <si>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</si>
  <si>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</si>
  <si>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</si>
  <si>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</si>
  <si>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</si>
  <si>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</si>
  <si>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</si>
  <si>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</si>
  <si>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</si>
  <si>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</si>
  <si>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</si>
  <si>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</si>
  <si>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</si>
  <si>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</si>
  <si>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</si>
  <si>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</si>
  <si>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</si>
  <si>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</si>
  <si>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</si>
  <si>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</si>
  <si>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</si>
  <si>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</si>
  <si>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</si>
  <si>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</si>
  <si>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</si>
  <si>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</si>
  <si>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</si>
  <si>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</si>
  <si>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</si>
  <si>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</si>
  <si>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</si>
  <si>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</si>
  <si>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</si>
  <si>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</si>
  <si>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</si>
  <si>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</si>
  <si>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</si>
  <si>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</si>
  <si>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</si>
  <si>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</si>
  <si>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</si>
  <si>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</si>
  <si>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</si>
  <si>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</si>
  <si>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</si>
  <si>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</si>
  <si>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</si>
  <si>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</si>
  <si>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</si>
  <si>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</si>
  <si>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</si>
  <si>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</si>
  <si>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</si>
  <si>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</si>
  <si>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</si>
  <si>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</si>
  <si>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</si>
  <si>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</si>
  <si>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</si>
  <si>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</si>
  <si>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</si>
  <si>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</si>
  <si>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</si>
  <si>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</si>
  <si>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</si>
  <si>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</si>
  <si>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</si>
  <si>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</si>
  <si>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</si>
  <si>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</si>
  <si>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</si>
  <si>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</si>
  <si>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</si>
  <si>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</si>
  <si>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</si>
  <si>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</si>
  <si>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</si>
  <si>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</si>
  <si>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</si>
  <si>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</si>
  <si>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</si>
  <si>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</si>
  <si>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</si>
  <si>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</si>
  <si>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</si>
  <si>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</si>
  <si>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</si>
  <si>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</si>
  <si>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</si>
  <si>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</si>
  <si>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</si>
  <si>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</si>
  <si>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</si>
  <si>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</si>
  <si>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</si>
  <si>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</si>
  <si>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</si>
  <si>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</si>
  <si>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</si>
  <si>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</si>
  <si>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</si>
  <si>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</si>
  <si>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</si>
  <si>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</si>
  <si>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</si>
  <si>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</si>
  <si>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</si>
  <si>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</si>
  <si>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</si>
  <si>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</si>
  <si>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</si>
  <si>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</si>
  <si>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</si>
  <si>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</si>
  <si>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</si>
  <si>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</si>
  <si>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</si>
  <si>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</si>
  <si>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</si>
  <si>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</si>
  <si>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</si>
  <si>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</si>
  <si>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</si>
  <si>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</si>
  <si>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</si>
  <si>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</si>
  <si>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</si>
  <si>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</si>
  <si>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</si>
  <si>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</si>
  <si>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</si>
  <si>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</si>
  <si>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</si>
  <si>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</si>
  <si>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</si>
  <si>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</si>
  <si>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</si>
  <si>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</si>
  <si>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</si>
  <si>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</si>
  <si>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</si>
  <si>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</si>
  <si>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</si>
  <si>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</si>
  <si>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</si>
  <si>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</si>
  <si>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</si>
  <si>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</si>
  <si>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</si>
  <si>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</si>
  <si>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</si>
  <si>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</si>
  <si>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</si>
  <si>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</si>
  <si>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</si>
  <si>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</si>
  <si>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</si>
  <si>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</si>
  <si>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</si>
  <si>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</si>
  <si>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</si>
  <si>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</si>
  <si>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TOP pályázat benyújtásához - tervdokumentáció elkészítése</t>
  </si>
  <si>
    <t>NKA pályázat -  ózongenerátor és kézfertőtlenítő beszerzése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</si>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</sst>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H_U_F_-;\-* #,##0.00\ _H_U_F_-;_-* &quot;-&quot;??\ _H_U_F_-;_-@_-"/>
    <numFmt numFmtId="165" formatCode="_-* #,##0.00\ _F_t_-;\-* #,##0.00\ _F_t_-;_-* &quot;-&quot;??\ _F_t_-;_-@_-"/>
    <numFmt numFmtId="166" formatCode="#,###"/>
    <numFmt numFmtId="167" formatCode="_-* #,##0\ _F_t_-;\-* #,##0\ _F_t_-;_-* &quot;-&quot;??\ _F_t_-;_-@_-"/>
    <numFmt numFmtId="168" formatCode="#,##0.0_ ;\-#,##0.0\ "/>
    <numFmt numFmtId="169" formatCode="_-* #,##0.0\ _F_t_-;\-* #,##0.0\ _F_t_-;_-* &quot;-&quot;??\ _F_t_-;_-@_-"/>
    <numFmt numFmtId="170" formatCode="#,##0.0"/>
    <numFmt numFmtId="171" formatCode="#,##0\ [$Ft-40E]"/>
    <numFmt numFmtId="172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MS Sans Serif"/>
      <family val="2"/>
      <charset val="238"/>
    </font>
    <font>
      <b/>
      <sz val="8"/>
      <color rgb="FFC0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8" fillId="0" borderId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07">
    <xf numFmtId="0" fontId="0" fillId="0" borderId="0" xfId="0"/>
    <xf numFmtId="166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6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166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vertical="center" wrapText="1"/>
    </xf>
    <xf numFmtId="166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6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6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6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6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20" fillId="8" borderId="27" xfId="0" applyNumberFormat="1" applyFont="1" applyFill="1" applyBorder="1" applyAlignment="1" applyProtection="1">
      <alignment horizontal="left" vertical="center" wrapText="1" indent="2"/>
    </xf>
    <xf numFmtId="166" fontId="8" fillId="0" borderId="0" xfId="0" applyNumberFormat="1" applyFont="1" applyFill="1" applyAlignment="1" applyProtection="1">
      <alignment horizontal="left" vertical="center" wrapText="1"/>
    </xf>
    <xf numFmtId="166" fontId="8" fillId="0" borderId="0" xfId="0" applyNumberFormat="1" applyFont="1" applyFill="1" applyAlignment="1" applyProtection="1">
      <alignment vertical="center" wrapText="1"/>
    </xf>
    <xf numFmtId="166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6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6" fontId="24" fillId="0" borderId="28" xfId="21" applyNumberFormat="1" applyFont="1" applyFill="1" applyBorder="1" applyAlignment="1" applyProtection="1">
      <alignment horizontal="right" vertical="center" wrapText="1" indent="1"/>
    </xf>
    <xf numFmtId="166" fontId="24" fillId="0" borderId="19" xfId="21" applyNumberFormat="1" applyFont="1" applyFill="1" applyBorder="1" applyAlignment="1" applyProtection="1">
      <alignment horizontal="right" vertical="center" wrapText="1" indent="1"/>
    </xf>
    <xf numFmtId="166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21" applyNumberFormat="1" applyFont="1" applyFill="1" applyBorder="1" applyAlignment="1" applyProtection="1">
      <alignment horizontal="right" vertical="center" wrapText="1" indent="1"/>
    </xf>
    <xf numFmtId="166" fontId="12" fillId="0" borderId="0" xfId="21" applyNumberFormat="1" applyFont="1" applyFill="1" applyBorder="1" applyAlignment="1" applyProtection="1">
      <alignment horizontal="right" vertical="center" wrapText="1" indent="1"/>
    </xf>
    <xf numFmtId="166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6" fontId="32" fillId="0" borderId="14" xfId="0" applyNumberFormat="1" applyFont="1" applyFill="1" applyBorder="1" applyAlignment="1" applyProtection="1">
      <alignment horizontal="right" vertical="center" wrapText="1" indent="1"/>
    </xf>
    <xf numFmtId="166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applyNumberFormat="1" applyFont="1" applyFill="1" applyBorder="1" applyAlignment="1" applyProtection="1">
      <alignment horizontal="right" vertical="center" wrapText="1" indent="1"/>
    </xf>
    <xf numFmtId="166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3" fillId="0" borderId="13" xfId="0" applyNumberFormat="1" applyFont="1" applyFill="1" applyBorder="1" applyAlignment="1" applyProtection="1">
      <alignment horizontal="centerContinuous" vertical="center" wrapText="1"/>
    </xf>
    <xf numFmtId="166" fontId="13" fillId="0" borderId="14" xfId="0" applyNumberFormat="1" applyFont="1" applyFill="1" applyBorder="1" applyAlignment="1" applyProtection="1">
      <alignment horizontal="centerContinuous" vertical="center" wrapText="1"/>
    </xf>
    <xf numFmtId="166" fontId="13" fillId="0" borderId="19" xfId="0" applyNumberFormat="1" applyFont="1" applyFill="1" applyBorder="1" applyAlignment="1" applyProtection="1">
      <alignment horizontal="centerContinuous" vertical="center" wrapText="1"/>
    </xf>
    <xf numFmtId="166" fontId="9" fillId="0" borderId="0" xfId="0" applyNumberFormat="1" applyFont="1" applyFill="1" applyAlignment="1" applyProtection="1">
      <alignment horizontal="center" vertical="center" wrapText="1"/>
    </xf>
    <xf numFmtId="166" fontId="32" fillId="0" borderId="27" xfId="0" applyNumberFormat="1" applyFont="1" applyFill="1" applyBorder="1" applyAlignment="1" applyProtection="1">
      <alignment horizontal="center" vertical="center" wrapText="1"/>
    </xf>
    <xf numFmtId="166" fontId="32" fillId="0" borderId="13" xfId="0" applyNumberFormat="1" applyFont="1" applyFill="1" applyBorder="1" applyAlignment="1" applyProtection="1">
      <alignment horizontal="center" vertical="center" wrapText="1"/>
    </xf>
    <xf numFmtId="166" fontId="32" fillId="0" borderId="14" xfId="0" applyNumberFormat="1" applyFont="1" applyFill="1" applyBorder="1" applyAlignment="1" applyProtection="1">
      <alignment horizontal="center" vertical="center" wrapText="1"/>
    </xf>
    <xf numFmtId="166" fontId="32" fillId="0" borderId="19" xfId="0" applyNumberFormat="1" applyFont="1" applyFill="1" applyBorder="1" applyAlignment="1" applyProtection="1">
      <alignment horizontal="center" vertical="center" wrapText="1"/>
    </xf>
    <xf numFmtId="166" fontId="32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6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6" fillId="0" borderId="8" xfId="0" applyNumberFormat="1" applyFont="1" applyFill="1" applyBorder="1" applyAlignment="1" applyProtection="1">
      <alignment horizontal="left" vertical="center" wrapText="1" indent="1"/>
    </xf>
    <xf numFmtId="166" fontId="35" fillId="0" borderId="27" xfId="0" applyNumberFormat="1" applyFont="1" applyFill="1" applyBorder="1" applyAlignment="1" applyProtection="1">
      <alignment horizontal="left" vertical="center" wrapText="1" indent="1"/>
    </xf>
    <xf numFmtId="166" fontId="33" fillId="0" borderId="7" xfId="0" applyNumberFormat="1" applyFont="1" applyFill="1" applyBorder="1" applyAlignment="1" applyProtection="1">
      <alignment horizontal="left" vertical="center" wrapText="1" indent="1"/>
    </xf>
    <xf numFmtId="166" fontId="33" fillId="0" borderId="8" xfId="0" applyNumberFormat="1" applyFont="1" applyFill="1" applyBorder="1" applyAlignment="1" applyProtection="1">
      <alignment horizontal="left" vertical="center" wrapText="1" indent="1"/>
    </xf>
    <xf numFmtId="166" fontId="37" fillId="0" borderId="2" xfId="0" applyNumberFormat="1" applyFont="1" applyFill="1" applyBorder="1" applyAlignment="1" applyProtection="1">
      <alignment horizontal="righ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37" fillId="0" borderId="7" xfId="0" applyNumberFormat="1" applyFont="1" applyFill="1" applyBorder="1" applyAlignment="1" applyProtection="1">
      <alignment horizontal="left" vertical="center" wrapText="1" indent="1"/>
    </xf>
    <xf numFmtId="166" fontId="33" fillId="0" borderId="8" xfId="0" applyNumberFormat="1" applyFont="1" applyFill="1" applyBorder="1" applyAlignment="1" applyProtection="1">
      <alignment horizontal="left" vertical="center" wrapText="1" indent="2"/>
    </xf>
    <xf numFmtId="166" fontId="33" fillId="0" borderId="2" xfId="0" applyNumberFormat="1" applyFont="1" applyFill="1" applyBorder="1" applyAlignment="1" applyProtection="1">
      <alignment horizontal="left" vertical="center" wrapText="1" indent="2"/>
    </xf>
    <xf numFmtId="166" fontId="37" fillId="0" borderId="2" xfId="0" applyNumberFormat="1" applyFont="1" applyFill="1" applyBorder="1" applyAlignment="1" applyProtection="1">
      <alignment horizontal="left" vertical="center" wrapText="1" indent="1"/>
    </xf>
    <xf numFmtId="166" fontId="33" fillId="0" borderId="9" xfId="0" applyNumberFormat="1" applyFont="1" applyFill="1" applyBorder="1" applyAlignment="1" applyProtection="1">
      <alignment horizontal="left" vertical="center" wrapText="1" indent="1"/>
    </xf>
    <xf numFmtId="166" fontId="26" fillId="0" borderId="9" xfId="0" applyNumberFormat="1" applyFont="1" applyFill="1" applyBorder="1" applyAlignment="1" applyProtection="1">
      <alignment horizontal="left" vertical="center" wrapText="1" indent="2"/>
    </xf>
    <xf numFmtId="166" fontId="26" fillId="0" borderId="10" xfId="0" applyNumberFormat="1" applyFont="1" applyFill="1" applyBorder="1" applyAlignment="1" applyProtection="1">
      <alignment horizontal="left" vertical="center" wrapText="1" indent="2"/>
    </xf>
    <xf numFmtId="166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6" fontId="13" fillId="0" borderId="32" xfId="0" applyNumberFormat="1" applyFont="1" applyFill="1" applyBorder="1" applyAlignment="1" applyProtection="1">
      <alignment horizontal="right" vertical="center" wrapText="1" indent="1"/>
    </xf>
    <xf numFmtId="166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6" fontId="24" fillId="0" borderId="44" xfId="0" applyNumberFormat="1" applyFont="1" applyFill="1" applyBorder="1" applyAlignment="1" applyProtection="1">
      <alignment horizontal="right" vertical="center" wrapText="1" indent="1"/>
    </xf>
    <xf numFmtId="166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6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6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6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6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6" fontId="37" fillId="0" borderId="1" xfId="0" applyNumberFormat="1" applyFont="1" applyFill="1" applyBorder="1" applyAlignment="1" applyProtection="1">
      <alignment horizontal="right" vertical="center" wrapText="1" indent="1"/>
    </xf>
    <xf numFmtId="166" fontId="38" fillId="0" borderId="0" xfId="0" applyNumberFormat="1" applyFont="1" applyFill="1" applyAlignment="1">
      <alignment vertical="center" wrapText="1"/>
    </xf>
    <xf numFmtId="166" fontId="11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5" fillId="0" borderId="0" xfId="0" applyNumberFormat="1" applyFont="1" applyFill="1" applyAlignment="1">
      <alignment vertical="center" wrapText="1"/>
    </xf>
    <xf numFmtId="166" fontId="28" fillId="0" borderId="0" xfId="0" applyNumberFormat="1" applyFont="1" applyFill="1" applyAlignment="1">
      <alignment vertical="center" wrapText="1"/>
    </xf>
    <xf numFmtId="166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6" fontId="33" fillId="0" borderId="2" xfId="23" applyNumberFormat="1" applyFont="1" applyFill="1" applyBorder="1" applyAlignment="1" applyProtection="1">
      <alignment vertical="center"/>
      <protection locked="0"/>
    </xf>
    <xf numFmtId="166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6" fontId="24" fillId="0" borderId="26" xfId="21" applyNumberFormat="1" applyFont="1" applyFill="1" applyBorder="1" applyAlignment="1" applyProtection="1">
      <alignment horizontal="right" vertical="center" wrapText="1" indent="1"/>
    </xf>
    <xf numFmtId="166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7" fontId="48" fillId="0" borderId="0" xfId="18" applyNumberFormat="1" applyFont="1"/>
    <xf numFmtId="166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9" xfId="21" applyNumberFormat="1" applyFont="1" applyFill="1" applyBorder="1" applyAlignment="1" applyProtection="1">
      <alignment horizontal="right" vertical="center" wrapText="1" indent="1"/>
    </xf>
    <xf numFmtId="166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" xfId="23" applyNumberFormat="1" applyFont="1" applyFill="1" applyBorder="1" applyAlignment="1" applyProtection="1">
      <alignment vertical="center"/>
      <protection locked="0"/>
    </xf>
    <xf numFmtId="166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6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6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6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21" applyNumberFormat="1" applyFont="1" applyFill="1" applyBorder="1" applyAlignment="1" applyProtection="1">
      <alignment horizontal="right" vertical="center" wrapText="1" indent="1"/>
    </xf>
    <xf numFmtId="166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6" fontId="24" fillId="0" borderId="52" xfId="21" applyNumberFormat="1" applyFont="1" applyFill="1" applyBorder="1" applyAlignment="1" applyProtection="1">
      <alignment horizontal="right" vertical="center" wrapText="1" indent="1"/>
    </xf>
    <xf numFmtId="166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44" xfId="0" applyNumberFormat="1" applyFont="1" applyBorder="1" applyAlignment="1" applyProtection="1">
      <alignment horizontal="right" vertical="center" wrapText="1" indent="1"/>
    </xf>
    <xf numFmtId="166" fontId="29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6" fontId="26" fillId="0" borderId="50" xfId="21" applyNumberFormat="1" applyFont="1" applyFill="1" applyBorder="1" applyAlignment="1" applyProtection="1">
      <alignment horizontal="right" vertical="center" wrapText="1" indent="1"/>
    </xf>
    <xf numFmtId="166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0" xfId="21" applyNumberFormat="1" applyFont="1" applyFill="1" applyBorder="1" applyAlignment="1" applyProtection="1">
      <alignment horizontal="right" vertical="center" wrapText="1" indent="1"/>
    </xf>
    <xf numFmtId="166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6" fontId="34" fillId="0" borderId="44" xfId="0" applyNumberFormat="1" applyFont="1" applyFill="1" applyBorder="1" applyAlignment="1" applyProtection="1">
      <alignment horizontal="right" vertical="center" wrapText="1" indent="1"/>
    </xf>
    <xf numFmtId="166" fontId="26" fillId="0" borderId="18" xfId="21" applyNumberFormat="1" applyFont="1" applyFill="1" applyBorder="1" applyAlignment="1" applyProtection="1">
      <alignment horizontal="right" vertical="center" wrapText="1" indent="1"/>
    </xf>
    <xf numFmtId="166" fontId="26" fillId="0" borderId="23" xfId="21" applyNumberFormat="1" applyFont="1" applyFill="1" applyBorder="1" applyAlignment="1" applyProtection="1">
      <alignment horizontal="right" vertical="center" wrapText="1" indent="1"/>
    </xf>
    <xf numFmtId="166" fontId="26" fillId="0" borderId="19" xfId="21" applyNumberFormat="1" applyFont="1" applyFill="1" applyBorder="1" applyAlignment="1" applyProtection="1">
      <alignment horizontal="right" vertical="center" wrapText="1" indent="1"/>
    </xf>
    <xf numFmtId="166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6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6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6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6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7" fontId="14" fillId="0" borderId="0" xfId="26" applyNumberFormat="1" applyFont="1" applyAlignment="1">
      <alignment horizontal="center"/>
    </xf>
    <xf numFmtId="167" fontId="20" fillId="0" borderId="0" xfId="26" applyNumberFormat="1" applyFont="1"/>
    <xf numFmtId="167" fontId="8" fillId="0" borderId="0" xfId="26" applyNumberFormat="1" applyFont="1"/>
    <xf numFmtId="167" fontId="50" fillId="0" borderId="0" xfId="26" applyNumberFormat="1" applyFont="1" applyAlignment="1">
      <alignment horizontal="centerContinuous"/>
    </xf>
    <xf numFmtId="167" fontId="14" fillId="0" borderId="0" xfId="26" applyNumberFormat="1" applyFont="1" applyAlignment="1">
      <alignment horizontal="right"/>
    </xf>
    <xf numFmtId="167" fontId="12" fillId="0" borderId="27" xfId="26" applyNumberFormat="1" applyFont="1" applyBorder="1" applyAlignment="1">
      <alignment horizontal="center" vertical="center"/>
    </xf>
    <xf numFmtId="167" fontId="20" fillId="0" borderId="0" xfId="26" applyNumberFormat="1" applyFont="1" applyBorder="1" applyAlignment="1"/>
    <xf numFmtId="0" fontId="6" fillId="0" borderId="72" xfId="20" applyFont="1" applyBorder="1"/>
    <xf numFmtId="167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6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6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6" fontId="33" fillId="0" borderId="20" xfId="21" applyNumberFormat="1" applyFont="1" applyFill="1" applyBorder="1" applyAlignment="1" applyProtection="1">
      <alignment horizontal="center" vertical="center" wrapText="1"/>
    </xf>
    <xf numFmtId="166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6" fontId="32" fillId="0" borderId="40" xfId="21" applyNumberFormat="1" applyFont="1" applyFill="1" applyBorder="1" applyAlignment="1" applyProtection="1">
      <alignment horizontal="center" vertical="center" wrapText="1"/>
    </xf>
    <xf numFmtId="166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6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" xfId="0" applyNumberFormat="1" applyFont="1" applyFill="1" applyBorder="1" applyAlignment="1" applyProtection="1">
      <alignment horizontal="right" vertical="center" wrapText="1" indent="1"/>
    </xf>
    <xf numFmtId="167" fontId="28" fillId="0" borderId="46" xfId="26" applyNumberFormat="1" applyFont="1" applyBorder="1"/>
    <xf numFmtId="0" fontId="6" fillId="0" borderId="36" xfId="20" applyFont="1" applyBorder="1"/>
    <xf numFmtId="167" fontId="28" fillId="0" borderId="29" xfId="26" applyNumberFormat="1" applyFont="1" applyBorder="1"/>
    <xf numFmtId="167" fontId="28" fillId="0" borderId="73" xfId="26" applyNumberFormat="1" applyFont="1" applyBorder="1"/>
    <xf numFmtId="167" fontId="28" fillId="0" borderId="53" xfId="26" applyNumberFormat="1" applyFont="1" applyBorder="1"/>
    <xf numFmtId="167" fontId="28" fillId="0" borderId="34" xfId="26" applyNumberFormat="1" applyFont="1" applyBorder="1"/>
    <xf numFmtId="167" fontId="28" fillId="0" borderId="35" xfId="26" applyNumberFormat="1" applyFont="1" applyBorder="1"/>
    <xf numFmtId="167" fontId="28" fillId="0" borderId="44" xfId="26" applyNumberFormat="1" applyFont="1" applyBorder="1"/>
    <xf numFmtId="167" fontId="35" fillId="0" borderId="44" xfId="26" applyNumberFormat="1" applyFont="1" applyBorder="1"/>
    <xf numFmtId="167" fontId="17" fillId="0" borderId="71" xfId="26" quotePrefix="1" applyNumberFormat="1" applyFont="1" applyBorder="1"/>
    <xf numFmtId="167" fontId="17" fillId="0" borderId="57" xfId="26" quotePrefix="1" applyNumberFormat="1" applyFont="1" applyBorder="1"/>
    <xf numFmtId="167" fontId="17" fillId="0" borderId="57" xfId="26" applyNumberFormat="1" applyFont="1" applyBorder="1"/>
    <xf numFmtId="167" fontId="28" fillId="0" borderId="43" xfId="26" applyNumberFormat="1" applyFont="1" applyBorder="1"/>
    <xf numFmtId="167" fontId="28" fillId="0" borderId="0" xfId="26" applyNumberFormat="1" applyFont="1" applyBorder="1"/>
    <xf numFmtId="167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6" fontId="33" fillId="0" borderId="17" xfId="21" applyNumberFormat="1" applyFont="1" applyFill="1" applyBorder="1" applyAlignment="1" applyProtection="1">
      <alignment horizontal="right" vertical="center" wrapText="1" indent="1"/>
    </xf>
    <xf numFmtId="166" fontId="33" fillId="0" borderId="22" xfId="21" applyNumberFormat="1" applyFont="1" applyFill="1" applyBorder="1" applyAlignment="1" applyProtection="1">
      <alignment horizontal="right" vertical="center" wrapText="1" indent="1"/>
    </xf>
    <xf numFmtId="166" fontId="24" fillId="0" borderId="17" xfId="21" applyNumberFormat="1" applyFont="1" applyFill="1" applyBorder="1" applyAlignment="1" applyProtection="1">
      <alignment horizontal="right" vertical="center" wrapText="1" indent="1"/>
    </xf>
    <xf numFmtId="166" fontId="24" fillId="0" borderId="18" xfId="21" applyNumberFormat="1" applyFont="1" applyFill="1" applyBorder="1" applyAlignment="1" applyProtection="1">
      <alignment horizontal="right" vertical="center" wrapText="1" indent="1"/>
    </xf>
    <xf numFmtId="166" fontId="24" fillId="0" borderId="22" xfId="21" applyNumberFormat="1" applyFont="1" applyFill="1" applyBorder="1" applyAlignment="1" applyProtection="1">
      <alignment horizontal="right" vertical="center" wrapText="1" indent="1"/>
    </xf>
    <xf numFmtId="166" fontId="24" fillId="0" borderId="20" xfId="21" applyNumberFormat="1" applyFont="1" applyFill="1" applyBorder="1" applyAlignment="1" applyProtection="1">
      <alignment horizontal="right" vertical="center" wrapText="1" indent="1"/>
    </xf>
    <xf numFmtId="166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7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8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6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6" fontId="33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8" fillId="0" borderId="0" xfId="0" applyNumberFormat="1" applyFont="1" applyFill="1" applyAlignment="1" applyProtection="1">
      <alignment horizontal="right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0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7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7" fontId="33" fillId="0" borderId="53" xfId="26" applyNumberFormat="1" applyFont="1" applyFill="1" applyBorder="1" applyProtection="1">
      <protection locked="0"/>
    </xf>
    <xf numFmtId="167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6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6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6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6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6" fontId="32" fillId="0" borderId="25" xfId="0" applyNumberFormat="1" applyFont="1" applyFill="1" applyBorder="1" applyAlignment="1" applyProtection="1">
      <alignment vertical="center" wrapText="1"/>
    </xf>
    <xf numFmtId="166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6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27" xfId="21" applyNumberFormat="1" applyFont="1" applyFill="1" applyBorder="1" applyAlignment="1" applyProtection="1">
      <alignment horizontal="right" vertical="center" wrapText="1" indent="1"/>
    </xf>
    <xf numFmtId="166" fontId="26" fillId="0" borderId="41" xfId="21" applyNumberFormat="1" applyFont="1" applyFill="1" applyBorder="1" applyAlignment="1" applyProtection="1">
      <alignment horizontal="right" vertical="center" wrapText="1" indent="1"/>
    </xf>
    <xf numFmtId="166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6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6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6" fontId="32" fillId="0" borderId="25" xfId="21" applyNumberFormat="1" applyFont="1" applyFill="1" applyBorder="1" applyAlignment="1" applyProtection="1">
      <alignment horizontal="right" vertical="center" wrapText="1" indent="1"/>
    </xf>
    <xf numFmtId="166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14" xfId="21" applyNumberFormat="1" applyFont="1" applyFill="1" applyBorder="1" applyAlignment="1" applyProtection="1">
      <alignment horizontal="right" vertical="center" wrapText="1" indent="1"/>
    </xf>
    <xf numFmtId="166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6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6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6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3" xfId="0" applyNumberFormat="1" applyFont="1" applyFill="1" applyBorder="1" applyAlignment="1" applyProtection="1">
      <alignment horizontal="centerContinuous" vertical="center" wrapText="1"/>
    </xf>
    <xf numFmtId="166" fontId="34" fillId="0" borderId="14" xfId="0" applyNumberFormat="1" applyFont="1" applyFill="1" applyBorder="1" applyAlignment="1" applyProtection="1">
      <alignment horizontal="centerContinuous" vertical="center" wrapText="1"/>
    </xf>
    <xf numFmtId="166" fontId="34" fillId="0" borderId="19" xfId="0" applyNumberFormat="1" applyFont="1" applyFill="1" applyBorder="1" applyAlignment="1" applyProtection="1">
      <alignment horizontal="centerContinuous" vertical="center" wrapText="1"/>
    </xf>
    <xf numFmtId="166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6" fontId="34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3" fillId="0" borderId="43" xfId="0" applyNumberFormat="1" applyFont="1" applyFill="1" applyBorder="1" applyAlignment="1" applyProtection="1">
      <alignment horizontal="left" vertical="center" wrapText="1" indent="1"/>
    </xf>
    <xf numFmtId="166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7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7" fontId="26" fillId="0" borderId="23" xfId="26" applyNumberFormat="1" applyFont="1" applyFill="1" applyBorder="1" applyProtection="1">
      <protection locked="0"/>
    </xf>
    <xf numFmtId="167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7" fontId="24" fillId="0" borderId="19" xfId="26" applyNumberFormat="1" applyFont="1" applyFill="1" applyBorder="1" applyProtection="1"/>
    <xf numFmtId="167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6" fontId="17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6" fontId="33" fillId="0" borderId="8" xfId="0" applyNumberFormat="1" applyFont="1" applyFill="1" applyBorder="1" applyAlignment="1" applyProtection="1">
      <alignment horizontal="left" vertical="center" wrapText="1" indent="3"/>
    </xf>
    <xf numFmtId="167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70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9" fontId="70" fillId="0" borderId="19" xfId="26" applyNumberFormat="1" applyFont="1" applyFill="1" applyBorder="1" applyAlignment="1" applyProtection="1">
      <alignment horizontal="right" vertical="center" wrapText="1" indent="1"/>
    </xf>
    <xf numFmtId="166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7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6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9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 applyProtection="1">
      <alignment vertical="center" wrapText="1"/>
    </xf>
    <xf numFmtId="166" fontId="0" fillId="0" borderId="0" xfId="0" applyNumberFormat="1" applyFont="1" applyFill="1" applyAlignment="1" applyProtection="1">
      <alignment horizontal="center" vertical="center" wrapText="1"/>
    </xf>
    <xf numFmtId="166" fontId="36" fillId="0" borderId="0" xfId="0" applyNumberFormat="1" applyFont="1" applyFill="1" applyAlignment="1" applyProtection="1">
      <alignment horizontal="right" wrapText="1"/>
    </xf>
    <xf numFmtId="166" fontId="34" fillId="0" borderId="13" xfId="0" applyNumberFormat="1" applyFont="1" applyFill="1" applyBorder="1" applyAlignment="1" applyProtection="1">
      <alignment horizontal="left" vertical="center" wrapText="1"/>
    </xf>
    <xf numFmtId="166" fontId="34" fillId="0" borderId="14" xfId="0" applyNumberFormat="1" applyFont="1" applyFill="1" applyBorder="1" applyAlignment="1" applyProtection="1">
      <alignment vertical="center" wrapText="1"/>
    </xf>
    <xf numFmtId="166" fontId="34" fillId="7" borderId="14" xfId="0" applyNumberFormat="1" applyFont="1" applyFill="1" applyBorder="1" applyAlignment="1" applyProtection="1">
      <alignment vertical="center" wrapText="1"/>
    </xf>
    <xf numFmtId="166" fontId="34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6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5" fillId="0" borderId="18" xfId="0" applyNumberFormat="1" applyFont="1" applyFill="1" applyBorder="1" applyAlignment="1" applyProtection="1">
      <alignment vertical="center" wrapText="1"/>
    </xf>
    <xf numFmtId="166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6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6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05" fillId="0" borderId="23" xfId="0" applyNumberFormat="1" applyFont="1" applyFill="1" applyBorder="1" applyAlignment="1" applyProtection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166" fontId="34" fillId="0" borderId="15" xfId="0" applyNumberFormat="1" applyFont="1" applyFill="1" applyBorder="1" applyAlignment="1" applyProtection="1">
      <alignment horizontal="center" vertical="center" wrapText="1"/>
    </xf>
    <xf numFmtId="166" fontId="34" fillId="0" borderId="16" xfId="0" applyNumberFormat="1" applyFont="1" applyFill="1" applyBorder="1" applyAlignment="1" applyProtection="1">
      <alignment horizontal="center" vertical="center" wrapText="1"/>
    </xf>
    <xf numFmtId="166" fontId="34" fillId="0" borderId="28" xfId="0" applyNumberFormat="1" applyFont="1" applyFill="1" applyBorder="1" applyAlignment="1" applyProtection="1">
      <alignment horizontal="center" vertical="center" wrapText="1"/>
    </xf>
    <xf numFmtId="166" fontId="32" fillId="0" borderId="11" xfId="0" applyNumberFormat="1" applyFont="1" applyFill="1" applyBorder="1" applyAlignment="1" applyProtection="1">
      <alignment horizontal="center" vertical="center" wrapText="1"/>
    </xf>
    <xf numFmtId="166" fontId="32" fillId="0" borderId="4" xfId="0" applyNumberFormat="1" applyFont="1" applyFill="1" applyBorder="1" applyAlignment="1" applyProtection="1">
      <alignment horizontal="center" vertical="center" wrapText="1"/>
    </xf>
    <xf numFmtId="166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6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6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6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6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6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6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6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6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35" fillId="0" borderId="18" xfId="0" applyNumberFormat="1" applyFont="1" applyFill="1" applyBorder="1" applyAlignment="1" applyProtection="1">
      <alignment vertical="center" wrapText="1"/>
    </xf>
    <xf numFmtId="166" fontId="0" fillId="0" borderId="2" xfId="28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35" fillId="0" borderId="18" xfId="0" applyNumberFormat="1" applyFont="1" applyFill="1" applyBorder="1" applyAlignment="1">
      <alignment vertical="center" wrapText="1"/>
    </xf>
    <xf numFmtId="166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1" xfId="0" applyNumberFormat="1" applyFont="1" applyFill="1" applyBorder="1" applyAlignment="1" applyProtection="1">
      <alignment vertical="center" wrapText="1"/>
      <protection locked="0"/>
    </xf>
    <xf numFmtId="166" fontId="35" fillId="0" borderId="22" xfId="0" applyNumberFormat="1" applyFont="1" applyFill="1" applyBorder="1" applyAlignment="1">
      <alignment vertical="center" wrapText="1"/>
    </xf>
    <xf numFmtId="166" fontId="6" fillId="0" borderId="2" xfId="28" applyNumberFormat="1" applyFont="1" applyFill="1" applyBorder="1" applyAlignment="1" applyProtection="1">
      <alignment vertical="center" wrapText="1"/>
      <protection locked="0"/>
    </xf>
    <xf numFmtId="166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81" fillId="0" borderId="20" xfId="0" applyNumberFormat="1" applyFont="1" applyFill="1" applyBorder="1" applyAlignment="1" applyProtection="1">
      <alignment vertical="center" wrapText="1"/>
    </xf>
    <xf numFmtId="166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105" fillId="0" borderId="19" xfId="0" applyNumberFormat="1" applyFont="1" applyFill="1" applyBorder="1" applyAlignment="1" applyProtection="1">
      <alignment vertical="center" wrapText="1"/>
    </xf>
    <xf numFmtId="166" fontId="90" fillId="0" borderId="63" xfId="0" applyNumberFormat="1" applyFont="1" applyFill="1" applyBorder="1" applyAlignment="1" applyProtection="1">
      <alignment horizontal="left" vertical="center" wrapText="1"/>
    </xf>
    <xf numFmtId="166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6" fontId="10" fillId="0" borderId="0" xfId="21" applyNumberFormat="1" applyFont="1" applyFill="1" applyBorder="1" applyAlignment="1" applyProtection="1">
      <alignment horizontal="centerContinuous" vertical="center"/>
    </xf>
    <xf numFmtId="166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6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18" xfId="0" applyNumberFormat="1" applyFont="1" applyFill="1" applyBorder="1" applyAlignment="1">
      <alignment vertical="center" wrapText="1"/>
    </xf>
    <xf numFmtId="166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3" xfId="0" applyNumberFormat="1" applyFont="1" applyFill="1" applyBorder="1" applyAlignment="1">
      <alignment vertical="center" wrapText="1"/>
    </xf>
    <xf numFmtId="166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20" fillId="0" borderId="20" xfId="0" applyNumberFormat="1" applyFont="1" applyFill="1" applyBorder="1" applyAlignment="1" applyProtection="1">
      <alignment vertical="center" wrapText="1"/>
    </xf>
    <xf numFmtId="166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20" fillId="0" borderId="23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90" fillId="0" borderId="14" xfId="0" applyNumberFormat="1" applyFont="1" applyFill="1" applyBorder="1" applyAlignment="1" applyProtection="1">
      <alignment horizontal="right" vertical="center" wrapText="1"/>
    </xf>
    <xf numFmtId="166" fontId="90" fillId="0" borderId="33" xfId="0" applyNumberFormat="1" applyFont="1" applyFill="1" applyBorder="1" applyAlignment="1" applyProtection="1">
      <alignment horizontal="right" vertical="center" wrapText="1"/>
    </xf>
    <xf numFmtId="166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6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1" fontId="117" fillId="0" borderId="0" xfId="18" applyNumberFormat="1" applyFont="1" applyAlignment="1">
      <alignment horizontal="right"/>
    </xf>
    <xf numFmtId="166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6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2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2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6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3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1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6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3" applyNumberFormat="1" applyFont="1" applyFill="1" applyBorder="1" applyAlignment="1" applyProtection="1">
      <alignment vertical="center"/>
    </xf>
    <xf numFmtId="3" fontId="73" fillId="0" borderId="21" xfId="26" applyNumberFormat="1" applyFont="1" applyBorder="1" applyAlignment="1">
      <alignment horizontal="right"/>
    </xf>
    <xf numFmtId="166" fontId="66" fillId="0" borderId="17" xfId="21" applyNumberFormat="1" applyFont="1" applyFill="1" applyBorder="1" applyAlignment="1" applyProtection="1">
      <alignment horizontal="right" vertical="center" wrapText="1" indent="1"/>
    </xf>
    <xf numFmtId="166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6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7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7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1" fontId="21" fillId="0" borderId="19" xfId="18" applyNumberFormat="1" applyFont="1" applyBorder="1" applyAlignment="1">
      <alignment horizontal="right" indent="2"/>
    </xf>
    <xf numFmtId="166" fontId="33" fillId="0" borderId="23" xfId="21" applyNumberFormat="1" applyFont="1" applyFill="1" applyBorder="1" applyAlignment="1" applyProtection="1">
      <alignment horizontal="right" vertical="center" wrapText="1" indent="1"/>
    </xf>
    <xf numFmtId="166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125" fillId="0" borderId="18" xfId="0" applyNumberFormat="1" applyFont="1" applyFill="1" applyBorder="1" applyAlignment="1" applyProtection="1">
      <alignment vertical="center" wrapText="1"/>
    </xf>
    <xf numFmtId="166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166" fontId="67" fillId="0" borderId="2" xfId="28" applyNumberFormat="1" applyFont="1" applyFill="1" applyBorder="1" applyAlignment="1" applyProtection="1">
      <alignment vertical="center" wrapText="1"/>
      <protection locked="0"/>
    </xf>
    <xf numFmtId="166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6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applyNumberFormat="1" applyFont="1" applyFill="1" applyBorder="1" applyAlignment="1" applyProtection="1">
      <alignment horizontal="right" vertical="center" wrapText="1" indent="1"/>
    </xf>
    <xf numFmtId="166" fontId="32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7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2" xfId="21" applyNumberFormat="1" applyFont="1" applyFill="1" applyBorder="1" applyAlignment="1" applyProtection="1">
      <alignment horizontal="right" vertical="center" wrapText="1" indent="1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1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6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6" fontId="24" fillId="0" borderId="61" xfId="50" applyNumberFormat="1" applyFont="1" applyFill="1" applyBorder="1" applyAlignment="1" applyProtection="1">
      <alignment horizontal="center" vertical="center" wrapText="1"/>
    </xf>
    <xf numFmtId="166" fontId="24" fillId="0" borderId="62" xfId="50" applyNumberFormat="1" applyFont="1" applyFill="1" applyBorder="1" applyAlignment="1" applyProtection="1">
      <alignment horizontal="center" vertical="center" wrapText="1"/>
    </xf>
    <xf numFmtId="166" fontId="24" fillId="0" borderId="28" xfId="50" applyNumberFormat="1" applyFont="1" applyFill="1" applyBorder="1" applyAlignment="1" applyProtection="1">
      <alignment horizontal="center" vertical="center" wrapText="1"/>
    </xf>
    <xf numFmtId="166" fontId="24" fillId="0" borderId="38" xfId="50" applyNumberFormat="1" applyFont="1" applyFill="1" applyBorder="1" applyAlignment="1" applyProtection="1">
      <alignment horizontal="center" vertical="center" wrapText="1"/>
    </xf>
    <xf numFmtId="166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6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6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6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1" fontId="21" fillId="0" borderId="0" xfId="52" applyNumberFormat="1" applyFont="1" applyFill="1" applyBorder="1" applyAlignment="1" applyProtection="1">
      <alignment horizontal="right"/>
    </xf>
    <xf numFmtId="171" fontId="118" fillId="0" borderId="18" xfId="53" applyNumberFormat="1" applyFont="1" applyBorder="1" applyAlignment="1">
      <alignment horizontal="right" indent="2"/>
    </xf>
    <xf numFmtId="171" fontId="21" fillId="0" borderId="18" xfId="53" applyNumberFormat="1" applyFont="1" applyBorder="1" applyAlignment="1">
      <alignment horizontal="right" indent="2"/>
    </xf>
    <xf numFmtId="171" fontId="118" fillId="0" borderId="18" xfId="53" applyNumberFormat="1" applyFont="1" applyFill="1" applyBorder="1" applyAlignment="1">
      <alignment horizontal="right" indent="2"/>
    </xf>
    <xf numFmtId="171" fontId="118" fillId="0" borderId="23" xfId="53" applyNumberFormat="1" applyFont="1" applyBorder="1" applyAlignment="1">
      <alignment horizontal="right" indent="2"/>
    </xf>
    <xf numFmtId="171" fontId="119" fillId="0" borderId="19" xfId="53" applyNumberFormat="1" applyFont="1" applyBorder="1" applyAlignment="1">
      <alignment horizontal="right" indent="2"/>
    </xf>
    <xf numFmtId="171" fontId="118" fillId="10" borderId="23" xfId="53" applyNumberFormat="1" applyFont="1" applyFill="1" applyBorder="1" applyAlignment="1">
      <alignment horizontal="right" indent="2"/>
    </xf>
    <xf numFmtId="171" fontId="118" fillId="10" borderId="18" xfId="53" applyNumberFormat="1" applyFont="1" applyFill="1" applyBorder="1" applyAlignment="1">
      <alignment horizontal="right" indent="2"/>
    </xf>
    <xf numFmtId="171" fontId="118" fillId="10" borderId="20" xfId="53" applyNumberFormat="1" applyFont="1" applyFill="1" applyBorder="1" applyAlignment="1">
      <alignment horizontal="right" indent="2"/>
    </xf>
    <xf numFmtId="171" fontId="118" fillId="0" borderId="40" xfId="53" applyNumberFormat="1" applyFont="1" applyBorder="1" applyAlignment="1">
      <alignment horizontal="right" indent="2"/>
    </xf>
    <xf numFmtId="171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6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6" fontId="67" fillId="0" borderId="18" xfId="0" applyNumberFormat="1" applyFont="1" applyFill="1" applyBorder="1" applyAlignment="1">
      <alignment vertical="center" wrapText="1"/>
    </xf>
    <xf numFmtId="166" fontId="7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5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3" fontId="33" fillId="0" borderId="40" xfId="0" applyNumberFormat="1" applyFont="1" applyFill="1" applyBorder="1" applyAlignment="1" applyProtection="1">
      <alignment horizontal="right" vertical="center" indent="1"/>
      <protection locked="0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74" fillId="0" borderId="7" xfId="19" applyNumberFormat="1" applyFont="1" applyBorder="1"/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6" fontId="66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7" fontId="127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6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59" xfId="28" applyFont="1" applyFill="1" applyBorder="1" applyAlignment="1">
      <alignment vertical="center"/>
    </xf>
    <xf numFmtId="166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6" fontId="20" fillId="0" borderId="26" xfId="0" applyNumberFormat="1" applyFont="1" applyFill="1" applyBorder="1" applyAlignment="1" applyProtection="1">
      <alignment vertical="center" wrapText="1"/>
    </xf>
    <xf numFmtId="166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6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6" fontId="67" fillId="0" borderId="2" xfId="0" applyNumberFormat="1" applyFont="1" applyFill="1" applyBorder="1" applyAlignment="1">
      <alignment vertical="center" wrapText="1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>
      <alignment horizontal="left" vertical="top" wrapText="1"/>
    </xf>
    <xf numFmtId="166" fontId="127" fillId="0" borderId="5" xfId="50" applyNumberFormat="1" applyFont="1" applyFill="1" applyBorder="1" applyAlignment="1" applyProtection="1">
      <alignment vertical="center" wrapText="1"/>
    </xf>
    <xf numFmtId="166" fontId="33" fillId="0" borderId="67" xfId="50" applyNumberFormat="1" applyFont="1" applyFill="1" applyBorder="1" applyAlignment="1" applyProtection="1">
      <alignment horizontal="left" vertical="center" wrapText="1" indent="1"/>
    </xf>
    <xf numFmtId="166" fontId="24" fillId="0" borderId="59" xfId="50" applyNumberFormat="1" applyFont="1" applyFill="1" applyBorder="1" applyAlignment="1" applyProtection="1">
      <alignment horizontal="center" vertical="center" wrapText="1"/>
    </xf>
    <xf numFmtId="0" fontId="127" fillId="0" borderId="2" xfId="0" applyFont="1" applyBorder="1" applyAlignment="1" applyProtection="1">
      <alignment horizontal="left" vertical="center"/>
      <protection locked="0"/>
    </xf>
    <xf numFmtId="0" fontId="127" fillId="0" borderId="2" xfId="0" applyFont="1" applyBorder="1" applyAlignment="1" applyProtection="1">
      <alignment horizontal="left" vertical="center" indent="1"/>
      <protection locked="0"/>
    </xf>
    <xf numFmtId="3" fontId="1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171" fontId="118" fillId="0" borderId="18" xfId="18" applyNumberFormat="1" applyFont="1" applyBorder="1" applyAlignment="1">
      <alignment horizontal="right" indent="2"/>
    </xf>
    <xf numFmtId="171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49" fontId="80" fillId="0" borderId="10" xfId="18" applyNumberFormat="1" applyFont="1" applyBorder="1"/>
    <xf numFmtId="0" fontId="128" fillId="0" borderId="6" xfId="18" applyFont="1" applyBorder="1" applyAlignment="1">
      <alignment horizontal="left"/>
    </xf>
    <xf numFmtId="171" fontId="120" fillId="0" borderId="23" xfId="18" applyNumberFormat="1" applyFont="1" applyFill="1" applyBorder="1" applyAlignment="1">
      <alignment horizontal="right" indent="2"/>
    </xf>
    <xf numFmtId="3" fontId="6" fillId="0" borderId="0" xfId="21" applyNumberFormat="1" applyFont="1" applyFill="1" applyAlignment="1">
      <alignment horizontal="right" indent="1"/>
    </xf>
    <xf numFmtId="166" fontId="1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1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0" fontId="125" fillId="0" borderId="42" xfId="0" quotePrefix="1" applyFont="1" applyFill="1" applyBorder="1" applyAlignment="1">
      <alignment vertical="center"/>
    </xf>
    <xf numFmtId="49" fontId="12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5" fillId="0" borderId="42" xfId="0" applyFont="1" applyFill="1" applyBorder="1" applyAlignment="1">
      <alignment vertical="center"/>
    </xf>
    <xf numFmtId="0" fontId="6" fillId="0" borderId="0" xfId="21" applyFont="1" applyFill="1" applyProtection="1"/>
    <xf numFmtId="0" fontId="33" fillId="0" borderId="8" xfId="48" applyNumberFormat="1" applyFont="1" applyFill="1" applyBorder="1" applyAlignment="1" applyProtection="1">
      <alignment vertical="center" wrapText="1"/>
      <protection locked="0"/>
    </xf>
    <xf numFmtId="3" fontId="6" fillId="0" borderId="2" xfId="21" applyNumberFormat="1" applyFont="1" applyFill="1" applyBorder="1" applyAlignment="1" applyProtection="1">
      <alignment horizontal="right"/>
      <protection locked="0"/>
    </xf>
    <xf numFmtId="3" fontId="6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49" applyNumberFormat="1" applyFont="1" applyFill="1" applyBorder="1" applyAlignment="1" applyProtection="1">
      <alignment horizontal="right"/>
      <protection locked="0"/>
    </xf>
    <xf numFmtId="0" fontId="33" fillId="0" borderId="2" xfId="48" applyNumberFormat="1" applyFont="1" applyFill="1" applyBorder="1" applyAlignment="1" applyProtection="1">
      <alignment vertical="center" wrapText="1"/>
      <protection locked="0"/>
    </xf>
    <xf numFmtId="3" fontId="35" fillId="0" borderId="18" xfId="49" applyNumberFormat="1" applyFont="1" applyFill="1" applyBorder="1" applyAlignment="1">
      <alignment horizontal="right"/>
    </xf>
    <xf numFmtId="166" fontId="6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25" fillId="0" borderId="2" xfId="0" applyFont="1" applyBorder="1"/>
    <xf numFmtId="166" fontId="67" fillId="0" borderId="2" xfId="28" applyNumberFormat="1" applyFont="1" applyFill="1" applyBorder="1" applyAlignment="1" applyProtection="1">
      <alignment horizontal="right" vertical="center" wrapText="1"/>
      <protection locked="0"/>
    </xf>
    <xf numFmtId="166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166" fontId="6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67" xfId="48" applyNumberFormat="1" applyFont="1" applyFill="1" applyBorder="1" applyAlignment="1" applyProtection="1">
      <alignment vertical="center" wrapText="1"/>
      <protection locked="0"/>
    </xf>
    <xf numFmtId="0" fontId="6" fillId="0" borderId="30" xfId="20" applyFont="1" applyBorder="1" applyAlignment="1">
      <alignment horizontal="left"/>
    </xf>
    <xf numFmtId="3" fontId="40" fillId="0" borderId="46" xfId="19" applyNumberFormat="1" applyFont="1" applyBorder="1"/>
    <xf numFmtId="3" fontId="74" fillId="0" borderId="67" xfId="19" applyNumberFormat="1" applyFont="1" applyBorder="1"/>
    <xf numFmtId="3" fontId="74" fillId="0" borderId="1" xfId="19" applyNumberFormat="1" applyFont="1" applyBorder="1"/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6" fontId="39" fillId="0" borderId="24" xfId="21" applyNumberFormat="1" applyFont="1" applyFill="1" applyBorder="1" applyAlignment="1" applyProtection="1">
      <alignment horizontal="left" vertical="center"/>
    </xf>
    <xf numFmtId="166" fontId="12" fillId="0" borderId="0" xfId="21" applyNumberFormat="1" applyFont="1" applyFill="1" applyBorder="1" applyAlignment="1" applyProtection="1">
      <alignment horizontal="center" vertical="center"/>
    </xf>
    <xf numFmtId="166" fontId="39" fillId="0" borderId="24" xfId="21" applyNumberFormat="1" applyFont="1" applyFill="1" applyBorder="1" applyAlignment="1" applyProtection="1">
      <alignment horizontal="left"/>
    </xf>
    <xf numFmtId="166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4" fillId="0" borderId="61" xfId="0" applyNumberFormat="1" applyFont="1" applyFill="1" applyBorder="1" applyAlignment="1" applyProtection="1">
      <alignment horizontal="center" vertical="center" wrapText="1"/>
    </xf>
    <xf numFmtId="166" fontId="34" fillId="0" borderId="59" xfId="0" applyNumberFormat="1" applyFont="1" applyFill="1" applyBorder="1" applyAlignment="1" applyProtection="1">
      <alignment horizontal="center" vertical="center" wrapText="1"/>
    </xf>
    <xf numFmtId="166" fontId="46" fillId="0" borderId="51" xfId="0" applyNumberFormat="1" applyFont="1" applyFill="1" applyBorder="1" applyAlignment="1" applyProtection="1">
      <alignment horizontal="center" vertical="center" wrapText="1"/>
    </xf>
    <xf numFmtId="166" fontId="28" fillId="0" borderId="24" xfId="0" applyNumberFormat="1" applyFont="1" applyFill="1" applyBorder="1" applyAlignment="1" applyProtection="1">
      <alignment horizontal="center" vertical="center" wrapText="1"/>
    </xf>
    <xf numFmtId="166" fontId="34" fillId="0" borderId="58" xfId="0" applyNumberFormat="1" applyFont="1" applyFill="1" applyBorder="1" applyAlignment="1" applyProtection="1">
      <alignment horizontal="center" vertical="center" wrapText="1"/>
    </xf>
    <xf numFmtId="166" fontId="34" fillId="0" borderId="75" xfId="0" applyNumberFormat="1" applyFont="1" applyFill="1" applyBorder="1" applyAlignment="1" applyProtection="1">
      <alignment horizontal="center" vertical="center" wrapText="1"/>
    </xf>
    <xf numFmtId="166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6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17" fillId="0" borderId="0" xfId="0" applyNumberFormat="1" applyFont="1" applyFill="1" applyAlignment="1">
      <alignment horizontal="right" vertical="center" wrapText="1"/>
    </xf>
    <xf numFmtId="166" fontId="28" fillId="0" borderId="0" xfId="0" applyNumberFormat="1" applyFont="1" applyFill="1" applyAlignment="1">
      <alignment horizontal="center" vertical="center" wrapText="1"/>
    </xf>
    <xf numFmtId="166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6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6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6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6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6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121" fillId="0" borderId="0" xfId="0" applyFont="1" applyFill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6" fontId="13" fillId="0" borderId="34" xfId="50" applyNumberFormat="1" applyFont="1" applyFill="1" applyBorder="1" applyAlignment="1" applyProtection="1">
      <alignment horizontal="left" vertical="center" wrapText="1" indent="2"/>
    </xf>
    <xf numFmtId="166" fontId="13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1" fontId="28" fillId="0" borderId="17" xfId="18" applyNumberFormat="1" applyFont="1" applyBorder="1" applyAlignment="1">
      <alignment horizontal="right" vertical="center" wrapText="1"/>
    </xf>
    <xf numFmtId="171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4" xfId="9" xr:uid="{00000000-0005-0000-0000-00000E000000}"/>
    <cellStyle name="Ezres 4 2" xfId="10" xr:uid="{00000000-0005-0000-0000-00000F000000}"/>
    <cellStyle name="Ezres 4 2 2" xfId="26" xr:uid="{00000000-0005-0000-0000-000010000000}"/>
    <cellStyle name="Ezres 5" xfId="34" xr:uid="{00000000-0005-0000-0000-000011000000}"/>
    <cellStyle name="Ezres 5 2" xfId="43" xr:uid="{00000000-0005-0000-0000-000012000000}"/>
    <cellStyle name="Ezres 5 3" xfId="53" xr:uid="{00000000-0005-0000-0000-000013000000}"/>
    <cellStyle name="Ezres 6" xfId="39" xr:uid="{00000000-0005-0000-0000-000014000000}"/>
    <cellStyle name="Ezres 6 2" xfId="45" xr:uid="{00000000-0005-0000-0000-000015000000}"/>
    <cellStyle name="Ezres 6 3" xfId="49" xr:uid="{00000000-0005-0000-0000-000016000000}"/>
    <cellStyle name="Ezres 7" xfId="41" xr:uid="{00000000-0005-0000-0000-000017000000}"/>
    <cellStyle name="Ezres 7 2" xfId="47" xr:uid="{00000000-0005-0000-0000-000018000000}"/>
    <cellStyle name="Ezres 7 3" xfId="51" xr:uid="{00000000-0005-0000-0000-000019000000}"/>
    <cellStyle name="hetmál kút" xfId="11" xr:uid="{00000000-0005-0000-0000-00001A000000}"/>
    <cellStyle name="Hiperhivatkozás" xfId="12" xr:uid="{00000000-0005-0000-0000-00001B000000}"/>
    <cellStyle name="Már látott hiperhivatkozás" xfId="13" xr:uid="{00000000-0005-0000-0000-00001C000000}"/>
    <cellStyle name="Normál" xfId="0" builtinId="0"/>
    <cellStyle name="Normál 2" xfId="14" xr:uid="{00000000-0005-0000-0000-00001E000000}"/>
    <cellStyle name="Normál 2 2" xfId="28" xr:uid="{00000000-0005-0000-0000-00001F000000}"/>
    <cellStyle name="Normál 2 3" xfId="36" xr:uid="{00000000-0005-0000-0000-000020000000}"/>
    <cellStyle name="Normál 3" xfId="15" xr:uid="{00000000-0005-0000-0000-000021000000}"/>
    <cellStyle name="Normál 3 2" xfId="16" xr:uid="{00000000-0005-0000-0000-000022000000}"/>
    <cellStyle name="Normál 3 2 2" xfId="17" xr:uid="{00000000-0005-0000-0000-000023000000}"/>
    <cellStyle name="Normál 4" xfId="33" xr:uid="{00000000-0005-0000-0000-000024000000}"/>
    <cellStyle name="Normál 4 2" xfId="42" xr:uid="{00000000-0005-0000-0000-000025000000}"/>
    <cellStyle name="Normál 4 3" xfId="52" xr:uid="{00000000-0005-0000-0000-000026000000}"/>
    <cellStyle name="Normál 5" xfId="38" xr:uid="{00000000-0005-0000-0000-000027000000}"/>
    <cellStyle name="Normál 5 2" xfId="44" xr:uid="{00000000-0005-0000-0000-000028000000}"/>
    <cellStyle name="Normál 5 3" xfId="48" xr:uid="{00000000-0005-0000-0000-000029000000}"/>
    <cellStyle name="Normál 6" xfId="40" xr:uid="{00000000-0005-0000-0000-00002A000000}"/>
    <cellStyle name="Normál 6 2" xfId="46" xr:uid="{00000000-0005-0000-0000-00002B000000}"/>
    <cellStyle name="Normál 6 3" xfId="50" xr:uid="{00000000-0005-0000-0000-00002C000000}"/>
    <cellStyle name="Normál_2013.évi normatíva költségvetéshez" xfId="18" xr:uid="{00000000-0005-0000-0000-00002D000000}"/>
    <cellStyle name="Normál_Göngyölített 12.13 2 2" xfId="19" xr:uid="{00000000-0005-0000-0000-00002E000000}"/>
    <cellStyle name="Normál_költségvetési rend. mód. melléklet 2 2" xfId="20" xr:uid="{00000000-0005-0000-0000-00002F000000}"/>
    <cellStyle name="Normál_KVRENMUNKA" xfId="21" xr:uid="{00000000-0005-0000-0000-000030000000}"/>
    <cellStyle name="Normál_Önkormányzati%20melléklet%202013.(1) 2 2" xfId="22" xr:uid="{00000000-0005-0000-0000-000031000000}"/>
    <cellStyle name="Normál_SEGEDLETEK" xfId="23" xr:uid="{00000000-0005-0000-0000-000032000000}"/>
    <cellStyle name="Normál_szakfeladat táblázat költségvetéshez" xfId="24" xr:uid="{00000000-0005-0000-0000-000033000000}"/>
    <cellStyle name="Normál_szakfeladatokhoz táblázat 2 2" xfId="25" xr:uid="{00000000-0005-0000-0000-000034000000}"/>
    <cellStyle name="Százalék 2" xfId="37" xr:uid="{00000000-0005-0000-0000-000035000000}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16" sqref="F16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0" t="s">
        <v>877</v>
      </c>
      <c r="B1" s="1450"/>
      <c r="C1" s="1450"/>
      <c r="D1" s="1450"/>
      <c r="E1" s="1450"/>
      <c r="F1" s="1450"/>
      <c r="G1" s="1450"/>
      <c r="H1" s="1450"/>
      <c r="I1" s="1450"/>
      <c r="J1" s="1450"/>
    </row>
    <row r="2" spans="1:10" x14ac:dyDescent="0.2">
      <c r="A2" s="847">
        <v>2020</v>
      </c>
      <c r="B2" s="847" t="s">
        <v>878</v>
      </c>
      <c r="C2" s="838"/>
      <c r="D2" s="838"/>
      <c r="E2" s="838"/>
      <c r="F2" s="838"/>
      <c r="G2" s="838"/>
      <c r="H2" s="838"/>
      <c r="I2" s="838"/>
      <c r="J2" s="838"/>
    </row>
    <row r="3" spans="1:10" ht="15.75" x14ac:dyDescent="0.25">
      <c r="A3" s="1451" t="s">
        <v>886</v>
      </c>
      <c r="B3" s="1451"/>
      <c r="C3" s="1451"/>
      <c r="D3" s="1451"/>
      <c r="E3" s="1451"/>
      <c r="F3" s="1451"/>
      <c r="G3" s="1451"/>
      <c r="H3" s="1451"/>
      <c r="I3" s="838"/>
      <c r="J3" s="838"/>
    </row>
    <row r="6" spans="1:10" ht="15" x14ac:dyDescent="0.25">
      <c r="A6" s="842" t="s">
        <v>879</v>
      </c>
      <c r="B6" s="838"/>
      <c r="C6" s="838"/>
      <c r="D6" s="838"/>
      <c r="E6" s="838"/>
      <c r="F6" s="838"/>
      <c r="G6" s="838"/>
      <c r="H6" s="838"/>
      <c r="I6" s="838"/>
      <c r="J6" s="838"/>
    </row>
    <row r="7" spans="1:10" x14ac:dyDescent="0.2">
      <c r="A7" s="843" t="s">
        <v>880</v>
      </c>
      <c r="B7" s="844"/>
      <c r="C7" s="845" t="s">
        <v>881</v>
      </c>
      <c r="D7" s="845" t="s">
        <v>812</v>
      </c>
      <c r="E7" s="845" t="s">
        <v>882</v>
      </c>
      <c r="F7" s="844"/>
      <c r="G7" s="845" t="s">
        <v>883</v>
      </c>
      <c r="H7" s="845" t="s">
        <v>1024</v>
      </c>
      <c r="I7" s="845"/>
      <c r="J7" s="845"/>
    </row>
    <row r="8" spans="1:10" x14ac:dyDescent="0.2">
      <c r="A8" s="839"/>
      <c r="B8" s="839"/>
      <c r="C8" s="839"/>
      <c r="D8" s="839"/>
      <c r="E8" s="839"/>
      <c r="F8" s="839"/>
      <c r="G8" s="839"/>
      <c r="H8" s="839"/>
      <c r="I8" s="839"/>
      <c r="J8" s="839"/>
    </row>
    <row r="11" spans="1:10" ht="14.25" x14ac:dyDescent="0.2">
      <c r="A11" s="846" t="s">
        <v>884</v>
      </c>
      <c r="B11" s="1452" t="s">
        <v>885</v>
      </c>
      <c r="C11" s="1452"/>
      <c r="D11" s="1452"/>
      <c r="E11" s="1452"/>
      <c r="F11" s="1452"/>
      <c r="G11" s="1452"/>
      <c r="H11" s="1452"/>
      <c r="I11" s="841"/>
      <c r="J11" s="841"/>
    </row>
    <row r="12" spans="1:10" ht="14.25" x14ac:dyDescent="0.2">
      <c r="A12" s="846" t="s">
        <v>887</v>
      </c>
    </row>
    <row r="13" spans="1:10" ht="14.25" x14ac:dyDescent="0.2">
      <c r="A13" s="846" t="s">
        <v>888</v>
      </c>
    </row>
    <row r="14" spans="1:10" ht="14.25" x14ac:dyDescent="0.2">
      <c r="A14" s="846" t="s">
        <v>889</v>
      </c>
    </row>
    <row r="15" spans="1:10" ht="14.25" x14ac:dyDescent="0.2">
      <c r="A15" s="846" t="s">
        <v>884</v>
      </c>
    </row>
    <row r="16" spans="1:10" ht="14.25" x14ac:dyDescent="0.2">
      <c r="A16" s="846" t="s">
        <v>884</v>
      </c>
    </row>
    <row r="17" spans="1:1" ht="14.25" x14ac:dyDescent="0.2">
      <c r="A17" s="846" t="s">
        <v>884</v>
      </c>
    </row>
    <row r="18" spans="1:1" ht="14.25" x14ac:dyDescent="0.2">
      <c r="A18" s="846" t="s">
        <v>884</v>
      </c>
    </row>
    <row r="19" spans="1:1" ht="14.25" x14ac:dyDescent="0.2">
      <c r="A19" s="846" t="s">
        <v>884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31"/>
  <sheetViews>
    <sheetView zoomScaleSheetLayoutView="85" workbookViewId="0">
      <selection activeCell="D7" sqref="D7"/>
    </sheetView>
  </sheetViews>
  <sheetFormatPr defaultRowHeight="15" x14ac:dyDescent="0.25"/>
  <cols>
    <col min="1" max="1" width="5.6640625" style="905" customWidth="1"/>
    <col min="2" max="2" width="41.1640625" style="905" customWidth="1"/>
    <col min="3" max="3" width="17.6640625" style="905" customWidth="1"/>
    <col min="4" max="7" width="14" style="905" customWidth="1"/>
    <col min="8" max="8" width="16.6640625" style="905" customWidth="1"/>
    <col min="9" max="256" width="9.33203125" style="905"/>
    <col min="257" max="257" width="5.6640625" style="905" customWidth="1"/>
    <col min="258" max="258" width="41.1640625" style="905" customWidth="1"/>
    <col min="259" max="259" width="17.6640625" style="905" customWidth="1"/>
    <col min="260" max="263" width="14" style="905" customWidth="1"/>
    <col min="264" max="264" width="16.6640625" style="905" customWidth="1"/>
    <col min="265" max="512" width="9.33203125" style="905"/>
    <col min="513" max="513" width="5.6640625" style="905" customWidth="1"/>
    <col min="514" max="514" width="41.1640625" style="905" customWidth="1"/>
    <col min="515" max="515" width="17.6640625" style="905" customWidth="1"/>
    <col min="516" max="519" width="14" style="905" customWidth="1"/>
    <col min="520" max="520" width="16.6640625" style="905" customWidth="1"/>
    <col min="521" max="768" width="9.33203125" style="905"/>
    <col min="769" max="769" width="5.6640625" style="905" customWidth="1"/>
    <col min="770" max="770" width="41.1640625" style="905" customWidth="1"/>
    <col min="771" max="771" width="17.6640625" style="905" customWidth="1"/>
    <col min="772" max="775" width="14" style="905" customWidth="1"/>
    <col min="776" max="776" width="16.6640625" style="905" customWidth="1"/>
    <col min="777" max="1024" width="9.33203125" style="905"/>
    <col min="1025" max="1025" width="5.6640625" style="905" customWidth="1"/>
    <col min="1026" max="1026" width="41.1640625" style="905" customWidth="1"/>
    <col min="1027" max="1027" width="17.6640625" style="905" customWidth="1"/>
    <col min="1028" max="1031" width="14" style="905" customWidth="1"/>
    <col min="1032" max="1032" width="16.6640625" style="905" customWidth="1"/>
    <col min="1033" max="1280" width="9.33203125" style="905"/>
    <col min="1281" max="1281" width="5.6640625" style="905" customWidth="1"/>
    <col min="1282" max="1282" width="41.1640625" style="905" customWidth="1"/>
    <col min="1283" max="1283" width="17.6640625" style="905" customWidth="1"/>
    <col min="1284" max="1287" width="14" style="905" customWidth="1"/>
    <col min="1288" max="1288" width="16.6640625" style="905" customWidth="1"/>
    <col min="1289" max="1536" width="9.33203125" style="905"/>
    <col min="1537" max="1537" width="5.6640625" style="905" customWidth="1"/>
    <col min="1538" max="1538" width="41.1640625" style="905" customWidth="1"/>
    <col min="1539" max="1539" width="17.6640625" style="905" customWidth="1"/>
    <col min="1540" max="1543" width="14" style="905" customWidth="1"/>
    <col min="1544" max="1544" width="16.6640625" style="905" customWidth="1"/>
    <col min="1545" max="1792" width="9.33203125" style="905"/>
    <col min="1793" max="1793" width="5.6640625" style="905" customWidth="1"/>
    <col min="1794" max="1794" width="41.1640625" style="905" customWidth="1"/>
    <col min="1795" max="1795" width="17.6640625" style="905" customWidth="1"/>
    <col min="1796" max="1799" width="14" style="905" customWidth="1"/>
    <col min="1800" max="1800" width="16.6640625" style="905" customWidth="1"/>
    <col min="1801" max="2048" width="9.33203125" style="905"/>
    <col min="2049" max="2049" width="5.6640625" style="905" customWidth="1"/>
    <col min="2050" max="2050" width="41.1640625" style="905" customWidth="1"/>
    <col min="2051" max="2051" width="17.6640625" style="905" customWidth="1"/>
    <col min="2052" max="2055" width="14" style="905" customWidth="1"/>
    <col min="2056" max="2056" width="16.6640625" style="905" customWidth="1"/>
    <col min="2057" max="2304" width="9.33203125" style="905"/>
    <col min="2305" max="2305" width="5.6640625" style="905" customWidth="1"/>
    <col min="2306" max="2306" width="41.1640625" style="905" customWidth="1"/>
    <col min="2307" max="2307" width="17.6640625" style="905" customWidth="1"/>
    <col min="2308" max="2311" width="14" style="905" customWidth="1"/>
    <col min="2312" max="2312" width="16.6640625" style="905" customWidth="1"/>
    <col min="2313" max="2560" width="9.33203125" style="905"/>
    <col min="2561" max="2561" width="5.6640625" style="905" customWidth="1"/>
    <col min="2562" max="2562" width="41.1640625" style="905" customWidth="1"/>
    <col min="2563" max="2563" width="17.6640625" style="905" customWidth="1"/>
    <col min="2564" max="2567" width="14" style="905" customWidth="1"/>
    <col min="2568" max="2568" width="16.6640625" style="905" customWidth="1"/>
    <col min="2569" max="2816" width="9.33203125" style="905"/>
    <col min="2817" max="2817" width="5.6640625" style="905" customWidth="1"/>
    <col min="2818" max="2818" width="41.1640625" style="905" customWidth="1"/>
    <col min="2819" max="2819" width="17.6640625" style="905" customWidth="1"/>
    <col min="2820" max="2823" width="14" style="905" customWidth="1"/>
    <col min="2824" max="2824" width="16.6640625" style="905" customWidth="1"/>
    <col min="2825" max="3072" width="9.33203125" style="905"/>
    <col min="3073" max="3073" width="5.6640625" style="905" customWidth="1"/>
    <col min="3074" max="3074" width="41.1640625" style="905" customWidth="1"/>
    <col min="3075" max="3075" width="17.6640625" style="905" customWidth="1"/>
    <col min="3076" max="3079" width="14" style="905" customWidth="1"/>
    <col min="3080" max="3080" width="16.6640625" style="905" customWidth="1"/>
    <col min="3081" max="3328" width="9.33203125" style="905"/>
    <col min="3329" max="3329" width="5.6640625" style="905" customWidth="1"/>
    <col min="3330" max="3330" width="41.1640625" style="905" customWidth="1"/>
    <col min="3331" max="3331" width="17.6640625" style="905" customWidth="1"/>
    <col min="3332" max="3335" width="14" style="905" customWidth="1"/>
    <col min="3336" max="3336" width="16.6640625" style="905" customWidth="1"/>
    <col min="3337" max="3584" width="9.33203125" style="905"/>
    <col min="3585" max="3585" width="5.6640625" style="905" customWidth="1"/>
    <col min="3586" max="3586" width="41.1640625" style="905" customWidth="1"/>
    <col min="3587" max="3587" width="17.6640625" style="905" customWidth="1"/>
    <col min="3588" max="3591" width="14" style="905" customWidth="1"/>
    <col min="3592" max="3592" width="16.6640625" style="905" customWidth="1"/>
    <col min="3593" max="3840" width="9.33203125" style="905"/>
    <col min="3841" max="3841" width="5.6640625" style="905" customWidth="1"/>
    <col min="3842" max="3842" width="41.1640625" style="905" customWidth="1"/>
    <col min="3843" max="3843" width="17.6640625" style="905" customWidth="1"/>
    <col min="3844" max="3847" width="14" style="905" customWidth="1"/>
    <col min="3848" max="3848" width="16.6640625" style="905" customWidth="1"/>
    <col min="3849" max="4096" width="9.33203125" style="905"/>
    <col min="4097" max="4097" width="5.6640625" style="905" customWidth="1"/>
    <col min="4098" max="4098" width="41.1640625" style="905" customWidth="1"/>
    <col min="4099" max="4099" width="17.6640625" style="905" customWidth="1"/>
    <col min="4100" max="4103" width="14" style="905" customWidth="1"/>
    <col min="4104" max="4104" width="16.6640625" style="905" customWidth="1"/>
    <col min="4105" max="4352" width="9.33203125" style="905"/>
    <col min="4353" max="4353" width="5.6640625" style="905" customWidth="1"/>
    <col min="4354" max="4354" width="41.1640625" style="905" customWidth="1"/>
    <col min="4355" max="4355" width="17.6640625" style="905" customWidth="1"/>
    <col min="4356" max="4359" width="14" style="905" customWidth="1"/>
    <col min="4360" max="4360" width="16.6640625" style="905" customWidth="1"/>
    <col min="4361" max="4608" width="9.33203125" style="905"/>
    <col min="4609" max="4609" width="5.6640625" style="905" customWidth="1"/>
    <col min="4610" max="4610" width="41.1640625" style="905" customWidth="1"/>
    <col min="4611" max="4611" width="17.6640625" style="905" customWidth="1"/>
    <col min="4612" max="4615" width="14" style="905" customWidth="1"/>
    <col min="4616" max="4616" width="16.6640625" style="905" customWidth="1"/>
    <col min="4617" max="4864" width="9.33203125" style="905"/>
    <col min="4865" max="4865" width="5.6640625" style="905" customWidth="1"/>
    <col min="4866" max="4866" width="41.1640625" style="905" customWidth="1"/>
    <col min="4867" max="4867" width="17.6640625" style="905" customWidth="1"/>
    <col min="4868" max="4871" width="14" style="905" customWidth="1"/>
    <col min="4872" max="4872" width="16.6640625" style="905" customWidth="1"/>
    <col min="4873" max="5120" width="9.33203125" style="905"/>
    <col min="5121" max="5121" width="5.6640625" style="905" customWidth="1"/>
    <col min="5122" max="5122" width="41.1640625" style="905" customWidth="1"/>
    <col min="5123" max="5123" width="17.6640625" style="905" customWidth="1"/>
    <col min="5124" max="5127" width="14" style="905" customWidth="1"/>
    <col min="5128" max="5128" width="16.6640625" style="905" customWidth="1"/>
    <col min="5129" max="5376" width="9.33203125" style="905"/>
    <col min="5377" max="5377" width="5.6640625" style="905" customWidth="1"/>
    <col min="5378" max="5378" width="41.1640625" style="905" customWidth="1"/>
    <col min="5379" max="5379" width="17.6640625" style="905" customWidth="1"/>
    <col min="5380" max="5383" width="14" style="905" customWidth="1"/>
    <col min="5384" max="5384" width="16.6640625" style="905" customWidth="1"/>
    <col min="5385" max="5632" width="9.33203125" style="905"/>
    <col min="5633" max="5633" width="5.6640625" style="905" customWidth="1"/>
    <col min="5634" max="5634" width="41.1640625" style="905" customWidth="1"/>
    <col min="5635" max="5635" width="17.6640625" style="905" customWidth="1"/>
    <col min="5636" max="5639" width="14" style="905" customWidth="1"/>
    <col min="5640" max="5640" width="16.6640625" style="905" customWidth="1"/>
    <col min="5641" max="5888" width="9.33203125" style="905"/>
    <col min="5889" max="5889" width="5.6640625" style="905" customWidth="1"/>
    <col min="5890" max="5890" width="41.1640625" style="905" customWidth="1"/>
    <col min="5891" max="5891" width="17.6640625" style="905" customWidth="1"/>
    <col min="5892" max="5895" width="14" style="905" customWidth="1"/>
    <col min="5896" max="5896" width="16.6640625" style="905" customWidth="1"/>
    <col min="5897" max="6144" width="9.33203125" style="905"/>
    <col min="6145" max="6145" width="5.6640625" style="905" customWidth="1"/>
    <col min="6146" max="6146" width="41.1640625" style="905" customWidth="1"/>
    <col min="6147" max="6147" width="17.6640625" style="905" customWidth="1"/>
    <col min="6148" max="6151" width="14" style="905" customWidth="1"/>
    <col min="6152" max="6152" width="16.6640625" style="905" customWidth="1"/>
    <col min="6153" max="6400" width="9.33203125" style="905"/>
    <col min="6401" max="6401" width="5.6640625" style="905" customWidth="1"/>
    <col min="6402" max="6402" width="41.1640625" style="905" customWidth="1"/>
    <col min="6403" max="6403" width="17.6640625" style="905" customWidth="1"/>
    <col min="6404" max="6407" width="14" style="905" customWidth="1"/>
    <col min="6408" max="6408" width="16.6640625" style="905" customWidth="1"/>
    <col min="6409" max="6656" width="9.33203125" style="905"/>
    <col min="6657" max="6657" width="5.6640625" style="905" customWidth="1"/>
    <col min="6658" max="6658" width="41.1640625" style="905" customWidth="1"/>
    <col min="6659" max="6659" width="17.6640625" style="905" customWidth="1"/>
    <col min="6660" max="6663" width="14" style="905" customWidth="1"/>
    <col min="6664" max="6664" width="16.6640625" style="905" customWidth="1"/>
    <col min="6665" max="6912" width="9.33203125" style="905"/>
    <col min="6913" max="6913" width="5.6640625" style="905" customWidth="1"/>
    <col min="6914" max="6914" width="41.1640625" style="905" customWidth="1"/>
    <col min="6915" max="6915" width="17.6640625" style="905" customWidth="1"/>
    <col min="6916" max="6919" width="14" style="905" customWidth="1"/>
    <col min="6920" max="6920" width="16.6640625" style="905" customWidth="1"/>
    <col min="6921" max="7168" width="9.33203125" style="905"/>
    <col min="7169" max="7169" width="5.6640625" style="905" customWidth="1"/>
    <col min="7170" max="7170" width="41.1640625" style="905" customWidth="1"/>
    <col min="7171" max="7171" width="17.6640625" style="905" customWidth="1"/>
    <col min="7172" max="7175" width="14" style="905" customWidth="1"/>
    <col min="7176" max="7176" width="16.6640625" style="905" customWidth="1"/>
    <col min="7177" max="7424" width="9.33203125" style="905"/>
    <col min="7425" max="7425" width="5.6640625" style="905" customWidth="1"/>
    <col min="7426" max="7426" width="41.1640625" style="905" customWidth="1"/>
    <col min="7427" max="7427" width="17.6640625" style="905" customWidth="1"/>
    <col min="7428" max="7431" width="14" style="905" customWidth="1"/>
    <col min="7432" max="7432" width="16.6640625" style="905" customWidth="1"/>
    <col min="7433" max="7680" width="9.33203125" style="905"/>
    <col min="7681" max="7681" width="5.6640625" style="905" customWidth="1"/>
    <col min="7682" max="7682" width="41.1640625" style="905" customWidth="1"/>
    <col min="7683" max="7683" width="17.6640625" style="905" customWidth="1"/>
    <col min="7684" max="7687" width="14" style="905" customWidth="1"/>
    <col min="7688" max="7688" width="16.6640625" style="905" customWidth="1"/>
    <col min="7689" max="7936" width="9.33203125" style="905"/>
    <col min="7937" max="7937" width="5.6640625" style="905" customWidth="1"/>
    <col min="7938" max="7938" width="41.1640625" style="905" customWidth="1"/>
    <col min="7939" max="7939" width="17.6640625" style="905" customWidth="1"/>
    <col min="7940" max="7943" width="14" style="905" customWidth="1"/>
    <col min="7944" max="7944" width="16.6640625" style="905" customWidth="1"/>
    <col min="7945" max="8192" width="9.33203125" style="905"/>
    <col min="8193" max="8193" width="5.6640625" style="905" customWidth="1"/>
    <col min="8194" max="8194" width="41.1640625" style="905" customWidth="1"/>
    <col min="8195" max="8195" width="17.6640625" style="905" customWidth="1"/>
    <col min="8196" max="8199" width="14" style="905" customWidth="1"/>
    <col min="8200" max="8200" width="16.6640625" style="905" customWidth="1"/>
    <col min="8201" max="8448" width="9.33203125" style="905"/>
    <col min="8449" max="8449" width="5.6640625" style="905" customWidth="1"/>
    <col min="8450" max="8450" width="41.1640625" style="905" customWidth="1"/>
    <col min="8451" max="8451" width="17.6640625" style="905" customWidth="1"/>
    <col min="8452" max="8455" width="14" style="905" customWidth="1"/>
    <col min="8456" max="8456" width="16.6640625" style="905" customWidth="1"/>
    <col min="8457" max="8704" width="9.33203125" style="905"/>
    <col min="8705" max="8705" width="5.6640625" style="905" customWidth="1"/>
    <col min="8706" max="8706" width="41.1640625" style="905" customWidth="1"/>
    <col min="8707" max="8707" width="17.6640625" style="905" customWidth="1"/>
    <col min="8708" max="8711" width="14" style="905" customWidth="1"/>
    <col min="8712" max="8712" width="16.6640625" style="905" customWidth="1"/>
    <col min="8713" max="8960" width="9.33203125" style="905"/>
    <col min="8961" max="8961" width="5.6640625" style="905" customWidth="1"/>
    <col min="8962" max="8962" width="41.1640625" style="905" customWidth="1"/>
    <col min="8963" max="8963" width="17.6640625" style="905" customWidth="1"/>
    <col min="8964" max="8967" width="14" style="905" customWidth="1"/>
    <col min="8968" max="8968" width="16.6640625" style="905" customWidth="1"/>
    <col min="8969" max="9216" width="9.33203125" style="905"/>
    <col min="9217" max="9217" width="5.6640625" style="905" customWidth="1"/>
    <col min="9218" max="9218" width="41.1640625" style="905" customWidth="1"/>
    <col min="9219" max="9219" width="17.6640625" style="905" customWidth="1"/>
    <col min="9220" max="9223" width="14" style="905" customWidth="1"/>
    <col min="9224" max="9224" width="16.6640625" style="905" customWidth="1"/>
    <col min="9225" max="9472" width="9.33203125" style="905"/>
    <col min="9473" max="9473" width="5.6640625" style="905" customWidth="1"/>
    <col min="9474" max="9474" width="41.1640625" style="905" customWidth="1"/>
    <col min="9475" max="9475" width="17.6640625" style="905" customWidth="1"/>
    <col min="9476" max="9479" width="14" style="905" customWidth="1"/>
    <col min="9480" max="9480" width="16.6640625" style="905" customWidth="1"/>
    <col min="9481" max="9728" width="9.33203125" style="905"/>
    <col min="9729" max="9729" width="5.6640625" style="905" customWidth="1"/>
    <col min="9730" max="9730" width="41.1640625" style="905" customWidth="1"/>
    <col min="9731" max="9731" width="17.6640625" style="905" customWidth="1"/>
    <col min="9732" max="9735" width="14" style="905" customWidth="1"/>
    <col min="9736" max="9736" width="16.6640625" style="905" customWidth="1"/>
    <col min="9737" max="9984" width="9.33203125" style="905"/>
    <col min="9985" max="9985" width="5.6640625" style="905" customWidth="1"/>
    <col min="9986" max="9986" width="41.1640625" style="905" customWidth="1"/>
    <col min="9987" max="9987" width="17.6640625" style="905" customWidth="1"/>
    <col min="9988" max="9991" width="14" style="905" customWidth="1"/>
    <col min="9992" max="9992" width="16.6640625" style="905" customWidth="1"/>
    <col min="9993" max="10240" width="9.33203125" style="905"/>
    <col min="10241" max="10241" width="5.6640625" style="905" customWidth="1"/>
    <col min="10242" max="10242" width="41.1640625" style="905" customWidth="1"/>
    <col min="10243" max="10243" width="17.6640625" style="905" customWidth="1"/>
    <col min="10244" max="10247" width="14" style="905" customWidth="1"/>
    <col min="10248" max="10248" width="16.6640625" style="905" customWidth="1"/>
    <col min="10249" max="10496" width="9.33203125" style="905"/>
    <col min="10497" max="10497" width="5.6640625" style="905" customWidth="1"/>
    <col min="10498" max="10498" width="41.1640625" style="905" customWidth="1"/>
    <col min="10499" max="10499" width="17.6640625" style="905" customWidth="1"/>
    <col min="10500" max="10503" width="14" style="905" customWidth="1"/>
    <col min="10504" max="10504" width="16.6640625" style="905" customWidth="1"/>
    <col min="10505" max="10752" width="9.33203125" style="905"/>
    <col min="10753" max="10753" width="5.6640625" style="905" customWidth="1"/>
    <col min="10754" max="10754" width="41.1640625" style="905" customWidth="1"/>
    <col min="10755" max="10755" width="17.6640625" style="905" customWidth="1"/>
    <col min="10756" max="10759" width="14" style="905" customWidth="1"/>
    <col min="10760" max="10760" width="16.6640625" style="905" customWidth="1"/>
    <col min="10761" max="11008" width="9.33203125" style="905"/>
    <col min="11009" max="11009" width="5.6640625" style="905" customWidth="1"/>
    <col min="11010" max="11010" width="41.1640625" style="905" customWidth="1"/>
    <col min="11011" max="11011" width="17.6640625" style="905" customWidth="1"/>
    <col min="11012" max="11015" width="14" style="905" customWidth="1"/>
    <col min="11016" max="11016" width="16.6640625" style="905" customWidth="1"/>
    <col min="11017" max="11264" width="9.33203125" style="905"/>
    <col min="11265" max="11265" width="5.6640625" style="905" customWidth="1"/>
    <col min="11266" max="11266" width="41.1640625" style="905" customWidth="1"/>
    <col min="11267" max="11267" width="17.6640625" style="905" customWidth="1"/>
    <col min="11268" max="11271" width="14" style="905" customWidth="1"/>
    <col min="11272" max="11272" width="16.6640625" style="905" customWidth="1"/>
    <col min="11273" max="11520" width="9.33203125" style="905"/>
    <col min="11521" max="11521" width="5.6640625" style="905" customWidth="1"/>
    <col min="11522" max="11522" width="41.1640625" style="905" customWidth="1"/>
    <col min="11523" max="11523" width="17.6640625" style="905" customWidth="1"/>
    <col min="11524" max="11527" width="14" style="905" customWidth="1"/>
    <col min="11528" max="11528" width="16.6640625" style="905" customWidth="1"/>
    <col min="11529" max="11776" width="9.33203125" style="905"/>
    <col min="11777" max="11777" width="5.6640625" style="905" customWidth="1"/>
    <col min="11778" max="11778" width="41.1640625" style="905" customWidth="1"/>
    <col min="11779" max="11779" width="17.6640625" style="905" customWidth="1"/>
    <col min="11780" max="11783" width="14" style="905" customWidth="1"/>
    <col min="11784" max="11784" width="16.6640625" style="905" customWidth="1"/>
    <col min="11785" max="12032" width="9.33203125" style="905"/>
    <col min="12033" max="12033" width="5.6640625" style="905" customWidth="1"/>
    <col min="12034" max="12034" width="41.1640625" style="905" customWidth="1"/>
    <col min="12035" max="12035" width="17.6640625" style="905" customWidth="1"/>
    <col min="12036" max="12039" width="14" style="905" customWidth="1"/>
    <col min="12040" max="12040" width="16.6640625" style="905" customWidth="1"/>
    <col min="12041" max="12288" width="9.33203125" style="905"/>
    <col min="12289" max="12289" width="5.6640625" style="905" customWidth="1"/>
    <col min="12290" max="12290" width="41.1640625" style="905" customWidth="1"/>
    <col min="12291" max="12291" width="17.6640625" style="905" customWidth="1"/>
    <col min="12292" max="12295" width="14" style="905" customWidth="1"/>
    <col min="12296" max="12296" width="16.6640625" style="905" customWidth="1"/>
    <col min="12297" max="12544" width="9.33203125" style="905"/>
    <col min="12545" max="12545" width="5.6640625" style="905" customWidth="1"/>
    <col min="12546" max="12546" width="41.1640625" style="905" customWidth="1"/>
    <col min="12547" max="12547" width="17.6640625" style="905" customWidth="1"/>
    <col min="12548" max="12551" width="14" style="905" customWidth="1"/>
    <col min="12552" max="12552" width="16.6640625" style="905" customWidth="1"/>
    <col min="12553" max="12800" width="9.33203125" style="905"/>
    <col min="12801" max="12801" width="5.6640625" style="905" customWidth="1"/>
    <col min="12802" max="12802" width="41.1640625" style="905" customWidth="1"/>
    <col min="12803" max="12803" width="17.6640625" style="905" customWidth="1"/>
    <col min="12804" max="12807" width="14" style="905" customWidth="1"/>
    <col min="12808" max="12808" width="16.6640625" style="905" customWidth="1"/>
    <col min="12809" max="13056" width="9.33203125" style="905"/>
    <col min="13057" max="13057" width="5.6640625" style="905" customWidth="1"/>
    <col min="13058" max="13058" width="41.1640625" style="905" customWidth="1"/>
    <col min="13059" max="13059" width="17.6640625" style="905" customWidth="1"/>
    <col min="13060" max="13063" width="14" style="905" customWidth="1"/>
    <col min="13064" max="13064" width="16.6640625" style="905" customWidth="1"/>
    <col min="13065" max="13312" width="9.33203125" style="905"/>
    <col min="13313" max="13313" width="5.6640625" style="905" customWidth="1"/>
    <col min="13314" max="13314" width="41.1640625" style="905" customWidth="1"/>
    <col min="13315" max="13315" width="17.6640625" style="905" customWidth="1"/>
    <col min="13316" max="13319" width="14" style="905" customWidth="1"/>
    <col min="13320" max="13320" width="16.6640625" style="905" customWidth="1"/>
    <col min="13321" max="13568" width="9.33203125" style="905"/>
    <col min="13569" max="13569" width="5.6640625" style="905" customWidth="1"/>
    <col min="13570" max="13570" width="41.1640625" style="905" customWidth="1"/>
    <col min="13571" max="13571" width="17.6640625" style="905" customWidth="1"/>
    <col min="13572" max="13575" width="14" style="905" customWidth="1"/>
    <col min="13576" max="13576" width="16.6640625" style="905" customWidth="1"/>
    <col min="13577" max="13824" width="9.33203125" style="905"/>
    <col min="13825" max="13825" width="5.6640625" style="905" customWidth="1"/>
    <col min="13826" max="13826" width="41.1640625" style="905" customWidth="1"/>
    <col min="13827" max="13827" width="17.6640625" style="905" customWidth="1"/>
    <col min="13828" max="13831" width="14" style="905" customWidth="1"/>
    <col min="13832" max="13832" width="16.6640625" style="905" customWidth="1"/>
    <col min="13833" max="14080" width="9.33203125" style="905"/>
    <col min="14081" max="14081" width="5.6640625" style="905" customWidth="1"/>
    <col min="14082" max="14082" width="41.1640625" style="905" customWidth="1"/>
    <col min="14083" max="14083" width="17.6640625" style="905" customWidth="1"/>
    <col min="14084" max="14087" width="14" style="905" customWidth="1"/>
    <col min="14088" max="14088" width="16.6640625" style="905" customWidth="1"/>
    <col min="14089" max="14336" width="9.33203125" style="905"/>
    <col min="14337" max="14337" width="5.6640625" style="905" customWidth="1"/>
    <col min="14338" max="14338" width="41.1640625" style="905" customWidth="1"/>
    <col min="14339" max="14339" width="17.6640625" style="905" customWidth="1"/>
    <col min="14340" max="14343" width="14" style="905" customWidth="1"/>
    <col min="14344" max="14344" width="16.6640625" style="905" customWidth="1"/>
    <col min="14345" max="14592" width="9.33203125" style="905"/>
    <col min="14593" max="14593" width="5.6640625" style="905" customWidth="1"/>
    <col min="14594" max="14594" width="41.1640625" style="905" customWidth="1"/>
    <col min="14595" max="14595" width="17.6640625" style="905" customWidth="1"/>
    <col min="14596" max="14599" width="14" style="905" customWidth="1"/>
    <col min="14600" max="14600" width="16.6640625" style="905" customWidth="1"/>
    <col min="14601" max="14848" width="9.33203125" style="905"/>
    <col min="14849" max="14849" width="5.6640625" style="905" customWidth="1"/>
    <col min="14850" max="14850" width="41.1640625" style="905" customWidth="1"/>
    <col min="14851" max="14851" width="17.6640625" style="905" customWidth="1"/>
    <col min="14852" max="14855" width="14" style="905" customWidth="1"/>
    <col min="14856" max="14856" width="16.6640625" style="905" customWidth="1"/>
    <col min="14857" max="15104" width="9.33203125" style="905"/>
    <col min="15105" max="15105" width="5.6640625" style="905" customWidth="1"/>
    <col min="15106" max="15106" width="41.1640625" style="905" customWidth="1"/>
    <col min="15107" max="15107" width="17.6640625" style="905" customWidth="1"/>
    <col min="15108" max="15111" width="14" style="905" customWidth="1"/>
    <col min="15112" max="15112" width="16.6640625" style="905" customWidth="1"/>
    <col min="15113" max="15360" width="9.33203125" style="905"/>
    <col min="15361" max="15361" width="5.6640625" style="905" customWidth="1"/>
    <col min="15362" max="15362" width="41.1640625" style="905" customWidth="1"/>
    <col min="15363" max="15363" width="17.6640625" style="905" customWidth="1"/>
    <col min="15364" max="15367" width="14" style="905" customWidth="1"/>
    <col min="15368" max="15368" width="16.6640625" style="905" customWidth="1"/>
    <col min="15369" max="15616" width="9.33203125" style="905"/>
    <col min="15617" max="15617" width="5.6640625" style="905" customWidth="1"/>
    <col min="15618" max="15618" width="41.1640625" style="905" customWidth="1"/>
    <col min="15619" max="15619" width="17.6640625" style="905" customWidth="1"/>
    <col min="15620" max="15623" width="14" style="905" customWidth="1"/>
    <col min="15624" max="15624" width="16.6640625" style="905" customWidth="1"/>
    <col min="15625" max="15872" width="9.33203125" style="905"/>
    <col min="15873" max="15873" width="5.6640625" style="905" customWidth="1"/>
    <col min="15874" max="15874" width="41.1640625" style="905" customWidth="1"/>
    <col min="15875" max="15875" width="17.6640625" style="905" customWidth="1"/>
    <col min="15876" max="15879" width="14" style="905" customWidth="1"/>
    <col min="15880" max="15880" width="16.6640625" style="905" customWidth="1"/>
    <col min="15881" max="16128" width="9.33203125" style="905"/>
    <col min="16129" max="16129" width="5.6640625" style="905" customWidth="1"/>
    <col min="16130" max="16130" width="41.1640625" style="905" customWidth="1"/>
    <col min="16131" max="16131" width="17.6640625" style="905" customWidth="1"/>
    <col min="16132" max="16135" width="14" style="905" customWidth="1"/>
    <col min="16136" max="16136" width="16.6640625" style="905" customWidth="1"/>
    <col min="16137" max="16384" width="9.33203125" style="905"/>
  </cols>
  <sheetData>
    <row r="1" spans="1:11" x14ac:dyDescent="0.25">
      <c r="A1" s="1469" t="str">
        <f>CONCATENATE("6. melléklet ",ALAPADATOK!A7," ",ALAPADATOK!B7," ",ALAPADATOK!C7," ",ALAPADATOK!D7," ",ALAPADATOK!E7," ",ALAPADATOK!F7," ",ALAPADATOK!G7," ",ALAPADATOK!H7)</f>
        <v>6. melléklet a  / 2020. (  ) önkormányzati rendelethez</v>
      </c>
      <c r="B1" s="1469"/>
      <c r="C1" s="1469"/>
      <c r="D1" s="1469"/>
      <c r="E1" s="1469"/>
      <c r="F1" s="1469"/>
      <c r="G1" s="1469"/>
      <c r="H1" s="1469"/>
    </row>
    <row r="3" spans="1:11" x14ac:dyDescent="0.25">
      <c r="A3" s="1470" t="s">
        <v>443</v>
      </c>
      <c r="B3" s="1470"/>
      <c r="C3" s="1470"/>
      <c r="D3" s="1470"/>
      <c r="E3" s="1470"/>
      <c r="F3" s="1470"/>
      <c r="G3" s="1470"/>
      <c r="H3" s="1470"/>
    </row>
    <row r="4" spans="1:11" ht="15.75" thickBot="1" x14ac:dyDescent="0.3">
      <c r="A4" s="906"/>
      <c r="B4" s="907"/>
      <c r="C4" s="907"/>
      <c r="D4" s="1471"/>
      <c r="E4" s="1471"/>
      <c r="F4" s="1471"/>
      <c r="G4" s="1472" t="s">
        <v>565</v>
      </c>
      <c r="H4" s="1472"/>
      <c r="I4" s="1238"/>
    </row>
    <row r="5" spans="1:11" ht="25.5" x14ac:dyDescent="0.25">
      <c r="A5" s="1473" t="s">
        <v>19</v>
      </c>
      <c r="B5" s="1475" t="s">
        <v>161</v>
      </c>
      <c r="C5" s="908" t="s">
        <v>813</v>
      </c>
      <c r="D5" s="1475" t="s">
        <v>193</v>
      </c>
      <c r="E5" s="1475"/>
      <c r="F5" s="1475"/>
      <c r="G5" s="1475"/>
      <c r="H5" s="1477" t="s">
        <v>570</v>
      </c>
    </row>
    <row r="6" spans="1:11" ht="15.75" thickBot="1" x14ac:dyDescent="0.3">
      <c r="A6" s="1474"/>
      <c r="B6" s="1476"/>
      <c r="C6" s="1373"/>
      <c r="D6" s="1373">
        <v>2020</v>
      </c>
      <c r="E6" s="1373">
        <v>2021</v>
      </c>
      <c r="F6" s="1373">
        <v>2022</v>
      </c>
      <c r="G6" s="930">
        <v>2023</v>
      </c>
      <c r="H6" s="1478"/>
    </row>
    <row r="7" spans="1:11" ht="15.75" thickBot="1" x14ac:dyDescent="0.3">
      <c r="A7" s="909" t="s">
        <v>21</v>
      </c>
      <c r="B7" s="910">
        <v>2</v>
      </c>
      <c r="C7" s="911">
        <v>3</v>
      </c>
      <c r="D7" s="911">
        <v>4</v>
      </c>
      <c r="E7" s="911">
        <v>5</v>
      </c>
      <c r="F7" s="911">
        <v>6</v>
      </c>
      <c r="G7" s="912">
        <v>7</v>
      </c>
      <c r="H7" s="912">
        <v>8</v>
      </c>
    </row>
    <row r="8" spans="1:11" ht="26.25" x14ac:dyDescent="0.25">
      <c r="A8" s="913" t="s">
        <v>21</v>
      </c>
      <c r="B8" s="914" t="s">
        <v>652</v>
      </c>
      <c r="C8" s="915">
        <v>0</v>
      </c>
      <c r="D8" s="1239">
        <v>0</v>
      </c>
      <c r="E8" s="1239">
        <v>0</v>
      </c>
      <c r="F8" s="1239">
        <v>0</v>
      </c>
      <c r="G8" s="1239">
        <v>0</v>
      </c>
      <c r="H8" s="1240">
        <f t="shared" ref="H8:H26" si="0">SUM(D8:G8)</f>
        <v>0</v>
      </c>
    </row>
    <row r="9" spans="1:11" ht="39" x14ac:dyDescent="0.25">
      <c r="A9" s="913" t="s">
        <v>22</v>
      </c>
      <c r="B9" s="914" t="s">
        <v>583</v>
      </c>
      <c r="C9" s="915">
        <v>1806590</v>
      </c>
      <c r="D9" s="1239">
        <v>1806590</v>
      </c>
      <c r="E9" s="1239">
        <v>0</v>
      </c>
      <c r="F9" s="1239">
        <v>0</v>
      </c>
      <c r="G9" s="1239">
        <v>0</v>
      </c>
      <c r="H9" s="1240">
        <f t="shared" si="0"/>
        <v>1806590</v>
      </c>
      <c r="K9" s="916"/>
    </row>
    <row r="10" spans="1:11" ht="39" x14ac:dyDescent="0.25">
      <c r="A10" s="913" t="s">
        <v>23</v>
      </c>
      <c r="B10" s="914" t="s">
        <v>584</v>
      </c>
      <c r="C10" s="915">
        <v>7359000</v>
      </c>
      <c r="D10" s="1241">
        <v>1472000</v>
      </c>
      <c r="E10" s="1241">
        <v>1472000</v>
      </c>
      <c r="F10" s="1239">
        <v>1472000</v>
      </c>
      <c r="G10" s="1239">
        <v>1472000</v>
      </c>
      <c r="H10" s="1240">
        <f t="shared" si="0"/>
        <v>5888000</v>
      </c>
      <c r="I10" s="917"/>
      <c r="J10" s="918"/>
      <c r="K10" s="919"/>
    </row>
    <row r="11" spans="1:11" ht="26.25" x14ac:dyDescent="0.25">
      <c r="A11" s="913" t="s">
        <v>24</v>
      </c>
      <c r="B11" s="914" t="s">
        <v>686</v>
      </c>
      <c r="C11" s="915">
        <v>1330461</v>
      </c>
      <c r="D11" s="1241">
        <v>887000</v>
      </c>
      <c r="E11" s="1241">
        <v>443461</v>
      </c>
      <c r="F11" s="1239">
        <v>0</v>
      </c>
      <c r="G11" s="1239">
        <v>0</v>
      </c>
      <c r="H11" s="1240">
        <f t="shared" si="0"/>
        <v>1330461</v>
      </c>
    </row>
    <row r="12" spans="1:11" ht="26.25" x14ac:dyDescent="0.25">
      <c r="A12" s="913" t="s">
        <v>25</v>
      </c>
      <c r="B12" s="914" t="s">
        <v>687</v>
      </c>
      <c r="C12" s="915">
        <v>1669539</v>
      </c>
      <c r="D12" s="1241">
        <v>1113000</v>
      </c>
      <c r="E12" s="1241">
        <v>556539</v>
      </c>
      <c r="F12" s="1239">
        <v>0</v>
      </c>
      <c r="G12" s="1239">
        <v>0</v>
      </c>
      <c r="H12" s="1240">
        <f t="shared" si="0"/>
        <v>1669539</v>
      </c>
    </row>
    <row r="13" spans="1:11" ht="26.25" customHeight="1" x14ac:dyDescent="0.25">
      <c r="A13" s="913" t="s">
        <v>26</v>
      </c>
      <c r="B13" s="920" t="s">
        <v>571</v>
      </c>
      <c r="C13" s="921">
        <v>36161155</v>
      </c>
      <c r="D13" s="1239">
        <v>4940000</v>
      </c>
      <c r="E13" s="1239">
        <v>4940000</v>
      </c>
      <c r="F13" s="1239">
        <v>4940000</v>
      </c>
      <c r="G13" s="1239">
        <v>4940000</v>
      </c>
      <c r="H13" s="1240">
        <f t="shared" si="0"/>
        <v>19760000</v>
      </c>
    </row>
    <row r="14" spans="1:11" ht="39" x14ac:dyDescent="0.25">
      <c r="A14" s="913" t="s">
        <v>27</v>
      </c>
      <c r="B14" s="922" t="s">
        <v>585</v>
      </c>
      <c r="C14" s="923">
        <v>4036000</v>
      </c>
      <c r="D14" s="1242">
        <v>1464000</v>
      </c>
      <c r="E14" s="1242">
        <v>1464000</v>
      </c>
      <c r="F14" s="1243">
        <v>1108000</v>
      </c>
      <c r="G14" s="1243">
        <v>0</v>
      </c>
      <c r="H14" s="1240">
        <f t="shared" si="0"/>
        <v>4036000</v>
      </c>
    </row>
    <row r="15" spans="1:11" ht="26.25" x14ac:dyDescent="0.25">
      <c r="A15" s="913" t="s">
        <v>28</v>
      </c>
      <c r="B15" s="924" t="s">
        <v>688</v>
      </c>
      <c r="C15" s="915">
        <v>2709452</v>
      </c>
      <c r="D15" s="1239">
        <v>984000</v>
      </c>
      <c r="E15" s="1239">
        <v>984000</v>
      </c>
      <c r="F15" s="1239">
        <v>741452</v>
      </c>
      <c r="G15" s="1239">
        <v>0</v>
      </c>
      <c r="H15" s="1240">
        <f t="shared" si="0"/>
        <v>2709452</v>
      </c>
    </row>
    <row r="16" spans="1:11" ht="26.25" x14ac:dyDescent="0.25">
      <c r="A16" s="913" t="s">
        <v>29</v>
      </c>
      <c r="B16" s="924" t="s">
        <v>689</v>
      </c>
      <c r="C16" s="915">
        <v>2360946</v>
      </c>
      <c r="D16" s="1239">
        <v>1242000</v>
      </c>
      <c r="E16" s="1239">
        <v>1118946</v>
      </c>
      <c r="F16" s="1239">
        <v>0</v>
      </c>
      <c r="G16" s="1239">
        <v>0</v>
      </c>
      <c r="H16" s="1240">
        <f t="shared" si="0"/>
        <v>2360946</v>
      </c>
    </row>
    <row r="17" spans="1:8" ht="26.25" x14ac:dyDescent="0.25">
      <c r="A17" s="913" t="s">
        <v>30</v>
      </c>
      <c r="B17" s="924" t="s">
        <v>690</v>
      </c>
      <c r="C17" s="915">
        <v>4551242</v>
      </c>
      <c r="D17" s="1239">
        <v>1270000</v>
      </c>
      <c r="E17" s="1239">
        <v>1270000</v>
      </c>
      <c r="F17" s="1239">
        <v>1270000</v>
      </c>
      <c r="G17" s="1239">
        <v>741242</v>
      </c>
      <c r="H17" s="1240">
        <f t="shared" si="0"/>
        <v>4551242</v>
      </c>
    </row>
    <row r="18" spans="1:8" ht="26.25" x14ac:dyDescent="0.25">
      <c r="A18" s="913" t="s">
        <v>31</v>
      </c>
      <c r="B18" s="920" t="s">
        <v>691</v>
      </c>
      <c r="C18" s="915">
        <v>9061526</v>
      </c>
      <c r="D18" s="1239">
        <v>1668000</v>
      </c>
      <c r="E18" s="1239">
        <v>1668000</v>
      </c>
      <c r="F18" s="1239">
        <v>1668000</v>
      </c>
      <c r="G18" s="1239">
        <v>1668000</v>
      </c>
      <c r="H18" s="1240">
        <f t="shared" si="0"/>
        <v>6672000</v>
      </c>
    </row>
    <row r="19" spans="1:8" ht="27.75" customHeight="1" x14ac:dyDescent="0.25">
      <c r="A19" s="913" t="s">
        <v>32</v>
      </c>
      <c r="B19" s="920" t="s">
        <v>692</v>
      </c>
      <c r="C19" s="915">
        <v>9042762</v>
      </c>
      <c r="D19" s="1239">
        <v>1834504</v>
      </c>
      <c r="E19" s="1239">
        <v>1834504</v>
      </c>
      <c r="F19" s="1239">
        <v>1834504</v>
      </c>
      <c r="G19" s="1239">
        <v>1834504</v>
      </c>
      <c r="H19" s="1240">
        <f t="shared" si="0"/>
        <v>7338016</v>
      </c>
    </row>
    <row r="20" spans="1:8" ht="27" customHeight="1" x14ac:dyDescent="0.25">
      <c r="A20" s="913" t="s">
        <v>33</v>
      </c>
      <c r="B20" s="920" t="s">
        <v>693</v>
      </c>
      <c r="C20" s="915">
        <v>5020437</v>
      </c>
      <c r="D20" s="1239">
        <v>3171740</v>
      </c>
      <c r="E20" s="1239">
        <v>1848697</v>
      </c>
      <c r="F20" s="1239">
        <v>0</v>
      </c>
      <c r="G20" s="1239">
        <v>0</v>
      </c>
      <c r="H20" s="1240">
        <f t="shared" si="0"/>
        <v>5020437</v>
      </c>
    </row>
    <row r="21" spans="1:8" ht="27" customHeight="1" x14ac:dyDescent="0.25">
      <c r="A21" s="913" t="s">
        <v>34</v>
      </c>
      <c r="B21" s="920" t="s">
        <v>694</v>
      </c>
      <c r="C21" s="915">
        <v>25000000</v>
      </c>
      <c r="D21" s="1239">
        <v>2777600</v>
      </c>
      <c r="E21" s="1239">
        <v>2777600</v>
      </c>
      <c r="F21" s="1239">
        <v>2777600</v>
      </c>
      <c r="G21" s="1239">
        <v>2777600</v>
      </c>
      <c r="H21" s="1240">
        <f t="shared" si="0"/>
        <v>11110400</v>
      </c>
    </row>
    <row r="22" spans="1:8" ht="26.25" customHeight="1" x14ac:dyDescent="0.25">
      <c r="A22" s="913" t="s">
        <v>35</v>
      </c>
      <c r="B22" s="920" t="s">
        <v>695</v>
      </c>
      <c r="C22" s="915">
        <v>0</v>
      </c>
      <c r="D22" s="1239">
        <v>508000</v>
      </c>
      <c r="E22" s="1239">
        <v>1016000</v>
      </c>
      <c r="F22" s="1239">
        <v>1016000</v>
      </c>
      <c r="G22" s="1239">
        <v>1016000</v>
      </c>
      <c r="H22" s="1240">
        <f t="shared" si="0"/>
        <v>3556000</v>
      </c>
    </row>
    <row r="23" spans="1:8" ht="26.25" x14ac:dyDescent="0.25">
      <c r="A23" s="913" t="s">
        <v>36</v>
      </c>
      <c r="B23" s="920" t="s">
        <v>696</v>
      </c>
      <c r="C23" s="915">
        <v>0</v>
      </c>
      <c r="D23" s="1239">
        <v>900000</v>
      </c>
      <c r="E23" s="1239">
        <v>3600000</v>
      </c>
      <c r="F23" s="1239">
        <v>3600000</v>
      </c>
      <c r="G23" s="1239">
        <v>3600000</v>
      </c>
      <c r="H23" s="1240">
        <f t="shared" si="0"/>
        <v>11700000</v>
      </c>
    </row>
    <row r="24" spans="1:8" x14ac:dyDescent="0.25">
      <c r="A24" s="913" t="s">
        <v>37</v>
      </c>
      <c r="B24" s="1428" t="s">
        <v>920</v>
      </c>
      <c r="C24" s="1429">
        <v>0</v>
      </c>
      <c r="D24" s="1430">
        <v>0</v>
      </c>
      <c r="E24" s="1430">
        <v>0</v>
      </c>
      <c r="F24" s="1430">
        <v>0</v>
      </c>
      <c r="G24" s="1431">
        <v>0</v>
      </c>
      <c r="H24" s="1240">
        <f t="shared" si="0"/>
        <v>0</v>
      </c>
    </row>
    <row r="25" spans="1:8" x14ac:dyDescent="0.25">
      <c r="A25" s="1383" t="s">
        <v>38</v>
      </c>
      <c r="B25" s="1432" t="s">
        <v>921</v>
      </c>
      <c r="C25" s="1429">
        <v>0</v>
      </c>
      <c r="D25" s="1430">
        <v>0</v>
      </c>
      <c r="E25" s="1430">
        <v>0</v>
      </c>
      <c r="F25" s="1430">
        <v>0</v>
      </c>
      <c r="G25" s="1431">
        <v>0</v>
      </c>
      <c r="H25" s="1433">
        <f t="shared" si="0"/>
        <v>0</v>
      </c>
    </row>
    <row r="26" spans="1:8" ht="15.75" thickBot="1" x14ac:dyDescent="0.3">
      <c r="A26" s="1382" t="s">
        <v>39</v>
      </c>
      <c r="B26" s="1377" t="s">
        <v>1034</v>
      </c>
      <c r="C26" s="1378">
        <v>0</v>
      </c>
      <c r="D26" s="1379">
        <v>0</v>
      </c>
      <c r="E26" s="1379">
        <v>0</v>
      </c>
      <c r="F26" s="1379">
        <v>2300740</v>
      </c>
      <c r="G26" s="1380">
        <v>2300740</v>
      </c>
      <c r="H26" s="1381">
        <f t="shared" si="0"/>
        <v>4601480</v>
      </c>
    </row>
    <row r="27" spans="1:8" ht="24" customHeight="1" thickBot="1" x14ac:dyDescent="0.3">
      <c r="A27" s="925"/>
      <c r="B27" s="926" t="s">
        <v>162</v>
      </c>
      <c r="C27" s="927">
        <f>SUM(C7:C26)</f>
        <v>110109113</v>
      </c>
      <c r="D27" s="927">
        <f t="shared" ref="D27:H27" si="1">SUM(D7:D25)</f>
        <v>26038438</v>
      </c>
      <c r="E27" s="927">
        <f t="shared" si="1"/>
        <v>24993752</v>
      </c>
      <c r="F27" s="927">
        <f t="shared" si="1"/>
        <v>20427562</v>
      </c>
      <c r="G27" s="927">
        <f t="shared" si="1"/>
        <v>18049353</v>
      </c>
      <c r="H27" s="931">
        <f t="shared" si="1"/>
        <v>89509091</v>
      </c>
    </row>
    <row r="29" spans="1:8" x14ac:dyDescent="0.25">
      <c r="B29" s="928" t="s">
        <v>697</v>
      </c>
    </row>
    <row r="31" spans="1:8" x14ac:dyDescent="0.25">
      <c r="B31" s="92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C11" sqref="C11"/>
    </sheetView>
  </sheetViews>
  <sheetFormatPr defaultRowHeight="15" x14ac:dyDescent="0.25"/>
  <cols>
    <col min="1" max="1" width="5.6640625" style="905" customWidth="1"/>
    <col min="2" max="2" width="68.6640625" style="905" customWidth="1"/>
    <col min="3" max="3" width="19.5" style="905" customWidth="1"/>
    <col min="4" max="4" width="11.33203125" style="905" customWidth="1"/>
    <col min="5" max="16384" width="9.33203125" style="905"/>
  </cols>
  <sheetData>
    <row r="1" spans="1:4" ht="15.75" x14ac:dyDescent="0.25">
      <c r="A1" s="1479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79"/>
      <c r="C1" s="1479"/>
    </row>
    <row r="3" spans="1:4" ht="33" customHeight="1" x14ac:dyDescent="0.25">
      <c r="A3" s="1470" t="s">
        <v>595</v>
      </c>
      <c r="B3" s="1470"/>
      <c r="C3" s="1470"/>
    </row>
    <row r="4" spans="1:4" ht="15.95" customHeight="1" thickBot="1" x14ac:dyDescent="0.3">
      <c r="A4" s="906"/>
      <c r="B4" s="906"/>
      <c r="C4" s="66" t="s">
        <v>555</v>
      </c>
      <c r="D4" s="512"/>
    </row>
    <row r="5" spans="1:4" ht="26.25" customHeight="1" thickBot="1" x14ac:dyDescent="0.3">
      <c r="A5" s="67" t="s">
        <v>19</v>
      </c>
      <c r="B5" s="68" t="s">
        <v>596</v>
      </c>
      <c r="C5" s="69" t="s">
        <v>786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73" t="s">
        <v>1003</v>
      </c>
      <c r="C7" s="702">
        <v>487000000</v>
      </c>
    </row>
    <row r="8" spans="1:4" ht="24.75" x14ac:dyDescent="0.25">
      <c r="A8" s="71" t="s">
        <v>22</v>
      </c>
      <c r="B8" s="516" t="s">
        <v>597</v>
      </c>
      <c r="C8" s="517">
        <v>1006560</v>
      </c>
    </row>
    <row r="9" spans="1:4" x14ac:dyDescent="0.25">
      <c r="A9" s="71" t="s">
        <v>23</v>
      </c>
      <c r="B9" s="518" t="s">
        <v>598</v>
      </c>
      <c r="C9" s="517"/>
    </row>
    <row r="10" spans="1:4" ht="24.75" x14ac:dyDescent="0.25">
      <c r="A10" s="71" t="s">
        <v>24</v>
      </c>
      <c r="B10" s="518" t="s">
        <v>599</v>
      </c>
      <c r="C10" s="517">
        <f>44304508+300000</f>
        <v>44604508</v>
      </c>
    </row>
    <row r="11" spans="1:4" x14ac:dyDescent="0.25">
      <c r="A11" s="71" t="s">
        <v>25</v>
      </c>
      <c r="B11" s="518" t="s">
        <v>682</v>
      </c>
      <c r="C11" s="1174">
        <v>16000000</v>
      </c>
    </row>
    <row r="12" spans="1:4" ht="15.75" thickBot="1" x14ac:dyDescent="0.3">
      <c r="A12" s="519" t="s">
        <v>26</v>
      </c>
      <c r="B12" s="520" t="s">
        <v>600</v>
      </c>
      <c r="C12" s="521"/>
    </row>
    <row r="13" spans="1:4" ht="15.75" thickBot="1" x14ac:dyDescent="0.3">
      <c r="A13" s="1480" t="s">
        <v>601</v>
      </c>
      <c r="B13" s="1481"/>
      <c r="C13" s="522">
        <f>SUM(C7:C12)</f>
        <v>548611068</v>
      </c>
    </row>
    <row r="14" spans="1:4" ht="23.25" customHeight="1" x14ac:dyDescent="0.25">
      <c r="A14" s="1482" t="s">
        <v>602</v>
      </c>
      <c r="B14" s="1482"/>
      <c r="C14" s="148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D18"/>
  <sheetViews>
    <sheetView topLeftCell="A4" zoomScale="145" zoomScaleNormal="145" zoomScaleSheetLayoutView="130" workbookViewId="0">
      <selection sqref="A1:C1"/>
    </sheetView>
  </sheetViews>
  <sheetFormatPr defaultRowHeight="15" x14ac:dyDescent="0.25"/>
  <cols>
    <col min="1" max="1" width="5.6640625" style="905" customWidth="1"/>
    <col min="2" max="2" width="66.83203125" style="905" customWidth="1"/>
    <col min="3" max="3" width="27" style="905" customWidth="1"/>
    <col min="4" max="16384" width="9.33203125" style="905"/>
  </cols>
  <sheetData>
    <row r="1" spans="1:4" x14ac:dyDescent="0.25">
      <c r="A1" s="1469" t="str">
        <f>CONCATENATE("7. melléklet ",ALAPADATOK!A7," ",ALAPADATOK!B7," ",ALAPADATOK!C7," ",ALAPADATOK!D7," ",ALAPADATOK!E7," ",ALAPADATOK!F7," ",ALAPADATOK!G7," ",ALAPADATOK!H7)</f>
        <v>7. melléklet a  / 2020. (  ) önkormányzati rendelethez</v>
      </c>
      <c r="B1" s="1469"/>
      <c r="C1" s="1469"/>
    </row>
    <row r="3" spans="1:4" ht="33" customHeight="1" x14ac:dyDescent="0.25">
      <c r="A3" s="1470" t="s">
        <v>909</v>
      </c>
      <c r="B3" s="1470"/>
      <c r="C3" s="1470"/>
    </row>
    <row r="4" spans="1:4" ht="15.95" customHeight="1" thickBot="1" x14ac:dyDescent="0.3">
      <c r="A4" s="906"/>
      <c r="B4" s="906"/>
      <c r="C4" s="66" t="s">
        <v>555</v>
      </c>
      <c r="D4" s="65"/>
    </row>
    <row r="5" spans="1:4" ht="26.25" customHeight="1" thickBot="1" x14ac:dyDescent="0.3">
      <c r="A5" s="605" t="s">
        <v>19</v>
      </c>
      <c r="B5" s="606" t="s">
        <v>163</v>
      </c>
      <c r="C5" s="607" t="s">
        <v>168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85" t="s">
        <v>1007</v>
      </c>
      <c r="C7" s="612">
        <v>4066909</v>
      </c>
    </row>
    <row r="8" spans="1:4" ht="23.25" x14ac:dyDescent="0.25">
      <c r="A8" s="71" t="s">
        <v>22</v>
      </c>
      <c r="B8" s="1175" t="s">
        <v>1004</v>
      </c>
      <c r="C8" s="614">
        <v>0</v>
      </c>
    </row>
    <row r="9" spans="1:4" x14ac:dyDescent="0.25">
      <c r="A9" s="703" t="s">
        <v>23</v>
      </c>
      <c r="B9" s="611" t="s">
        <v>1005</v>
      </c>
      <c r="C9" s="614">
        <v>18000000</v>
      </c>
    </row>
    <row r="10" spans="1:4" x14ac:dyDescent="0.25">
      <c r="A10" s="71" t="s">
        <v>24</v>
      </c>
      <c r="B10" s="1386" t="s">
        <v>1006</v>
      </c>
      <c r="C10" s="1387">
        <v>0</v>
      </c>
    </row>
    <row r="11" spans="1:4" x14ac:dyDescent="0.25">
      <c r="A11" s="71" t="s">
        <v>25</v>
      </c>
      <c r="B11" s="1384" t="s">
        <v>1034</v>
      </c>
      <c r="C11" s="1388">
        <v>11503705</v>
      </c>
    </row>
    <row r="12" spans="1:4" x14ac:dyDescent="0.25">
      <c r="A12" s="703" t="s">
        <v>26</v>
      </c>
      <c r="B12" s="611"/>
      <c r="C12" s="614"/>
    </row>
    <row r="13" spans="1:4" x14ac:dyDescent="0.25">
      <c r="A13" s="703" t="s">
        <v>27</v>
      </c>
      <c r="B13" s="613"/>
      <c r="C13" s="615"/>
    </row>
    <row r="14" spans="1:4" x14ac:dyDescent="0.25">
      <c r="A14" s="703" t="s">
        <v>28</v>
      </c>
      <c r="B14" s="616"/>
      <c r="C14" s="615"/>
    </row>
    <row r="15" spans="1:4" s="618" customFormat="1" thickBot="1" x14ac:dyDescent="0.25">
      <c r="A15" s="703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164</v>
      </c>
      <c r="C16" s="621">
        <f>SUM(C7:C15)</f>
        <v>33570614</v>
      </c>
    </row>
    <row r="18" spans="2:2" x14ac:dyDescent="0.25">
      <c r="B18" s="281" t="s">
        <v>1008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79"/>
  <sheetViews>
    <sheetView view="pageBreakPreview" topLeftCell="A61" zoomScaleNormal="100" zoomScaleSheetLayoutView="100" workbookViewId="0">
      <selection activeCell="H71" sqref="H71"/>
    </sheetView>
  </sheetViews>
  <sheetFormatPr defaultColWidth="9.33203125" defaultRowHeight="12.75" x14ac:dyDescent="0.2"/>
  <cols>
    <col min="1" max="1" width="61.33203125" style="511" customWidth="1"/>
    <col min="2" max="2" width="15.6640625" style="779" customWidth="1"/>
    <col min="3" max="3" width="16.33203125" style="779" customWidth="1"/>
    <col min="4" max="5" width="18" style="779" customWidth="1"/>
    <col min="6" max="6" width="16.6640625" style="779" customWidth="1"/>
    <col min="7" max="7" width="18.83203125" style="502" customWidth="1"/>
    <col min="8" max="9" width="12.83203125" style="1008" customWidth="1"/>
    <col min="10" max="10" width="13.83203125" style="1008" customWidth="1"/>
    <col min="11" max="11" width="12.6640625" style="1008" bestFit="1" customWidth="1"/>
    <col min="12" max="12" width="12.6640625" style="1008" customWidth="1"/>
    <col min="13" max="13" width="11.1640625" style="1008" bestFit="1" customWidth="1"/>
    <col min="14" max="16384" width="9.33203125" style="1008"/>
  </cols>
  <sheetData>
    <row r="1" spans="1:8" x14ac:dyDescent="0.2">
      <c r="A1" s="1483" t="str">
        <f>CONCATENATE("7. melléklet"," ",ALAPADATOK!A7," ",ALAPADATOK!B7," ",ALAPADATOK!C7," ",ALAPADATOK!D7," ",ALAPADATOK!E7," ",ALAPADATOK!F7," ",ALAPADATOK!G7," ",ALAPADATOK!H7)</f>
        <v>7. melléklet a  / 2020. (  ) önkormányzati rendelethez</v>
      </c>
      <c r="B1" s="1483"/>
      <c r="C1" s="1483"/>
      <c r="D1" s="1483"/>
      <c r="E1" s="1483"/>
      <c r="F1" s="1483"/>
      <c r="G1" s="1483"/>
    </row>
    <row r="3" spans="1:8" ht="25.5" customHeight="1" x14ac:dyDescent="0.2">
      <c r="A3" s="1484" t="s">
        <v>7</v>
      </c>
      <c r="B3" s="1484"/>
      <c r="C3" s="1484"/>
      <c r="D3" s="1484"/>
      <c r="E3" s="1484"/>
      <c r="F3" s="1484"/>
      <c r="G3" s="1484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557</v>
      </c>
    </row>
    <row r="5" spans="1:8" s="770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785</v>
      </c>
      <c r="E5" s="505" t="s">
        <v>932</v>
      </c>
      <c r="F5" s="505" t="s">
        <v>786</v>
      </c>
      <c r="G5" s="506" t="s">
        <v>787</v>
      </c>
      <c r="H5" s="507"/>
    </row>
    <row r="6" spans="1:8" s="854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>
        <v>5</v>
      </c>
      <c r="F6" s="509">
        <v>6</v>
      </c>
      <c r="G6" s="510" t="s">
        <v>1045</v>
      </c>
    </row>
    <row r="7" spans="1:8" s="854" customFormat="1" ht="12" customHeight="1" thickBot="1" x14ac:dyDescent="0.25">
      <c r="A7" s="893" t="s">
        <v>809</v>
      </c>
      <c r="B7" s="969">
        <f>SUM(B8:B37)</f>
        <v>820639254</v>
      </c>
      <c r="C7" s="968"/>
      <c r="D7" s="969">
        <f>SUM(D8:D37)</f>
        <v>149638572</v>
      </c>
      <c r="E7" s="969">
        <f>SUM(E8:E38)</f>
        <v>35489968</v>
      </c>
      <c r="F7" s="969">
        <f>SUM(F8:F38)</f>
        <v>645658014</v>
      </c>
      <c r="G7" s="970"/>
    </row>
    <row r="8" spans="1:8" s="779" customFormat="1" ht="15.95" customHeight="1" x14ac:dyDescent="0.2">
      <c r="A8" s="862" t="s">
        <v>705</v>
      </c>
      <c r="B8" s="1389">
        <f>194576285+594360</f>
        <v>195170645</v>
      </c>
      <c r="C8" s="946" t="s">
        <v>802</v>
      </c>
      <c r="D8" s="947">
        <v>116979846</v>
      </c>
      <c r="E8" s="947">
        <v>7150721</v>
      </c>
      <c r="F8" s="947">
        <f>70445718+594360</f>
        <v>71040078</v>
      </c>
      <c r="G8" s="948">
        <f>B8-D8-F8-E8</f>
        <v>0</v>
      </c>
    </row>
    <row r="9" spans="1:8" s="781" customFormat="1" ht="15.95" customHeight="1" x14ac:dyDescent="0.2">
      <c r="A9" s="863" t="s">
        <v>783</v>
      </c>
      <c r="B9" s="949">
        <v>2072640</v>
      </c>
      <c r="C9" s="950" t="s">
        <v>784</v>
      </c>
      <c r="D9" s="951"/>
      <c r="E9" s="951"/>
      <c r="F9" s="951">
        <v>2072640</v>
      </c>
      <c r="G9" s="952">
        <f t="shared" ref="G9:G77" si="0">B9-D9-F9-E9</f>
        <v>0</v>
      </c>
    </row>
    <row r="10" spans="1:8" s="779" customFormat="1" ht="15.95" customHeight="1" x14ac:dyDescent="0.2">
      <c r="A10" s="863" t="s">
        <v>788</v>
      </c>
      <c r="B10" s="949">
        <f>268788554-1094400</f>
        <v>267694154</v>
      </c>
      <c r="C10" s="950" t="s">
        <v>793</v>
      </c>
      <c r="D10" s="951">
        <v>2641600</v>
      </c>
      <c r="E10" s="951"/>
      <c r="F10" s="951">
        <v>265052554</v>
      </c>
      <c r="G10" s="952">
        <f t="shared" si="0"/>
        <v>0</v>
      </c>
    </row>
    <row r="11" spans="1:8" s="778" customFormat="1" ht="25.5" x14ac:dyDescent="0.2">
      <c r="A11" s="863" t="s">
        <v>789</v>
      </c>
      <c r="B11" s="1434">
        <f>12274550-2533650</f>
        <v>9740900</v>
      </c>
      <c r="C11" s="1435" t="s">
        <v>793</v>
      </c>
      <c r="D11" s="1436"/>
      <c r="E11" s="1436"/>
      <c r="F11" s="1436">
        <f>12274550-2533650</f>
        <v>9740900</v>
      </c>
      <c r="G11" s="952">
        <f t="shared" si="0"/>
        <v>0</v>
      </c>
    </row>
    <row r="12" spans="1:8" s="779" customFormat="1" ht="25.5" x14ac:dyDescent="0.2">
      <c r="A12" s="863" t="s">
        <v>790</v>
      </c>
      <c r="B12" s="949">
        <v>2634996</v>
      </c>
      <c r="C12" s="950" t="s">
        <v>793</v>
      </c>
      <c r="D12" s="951"/>
      <c r="E12" s="951"/>
      <c r="F12" s="951">
        <v>2634996</v>
      </c>
      <c r="G12" s="952">
        <f t="shared" si="0"/>
        <v>0</v>
      </c>
    </row>
    <row r="13" spans="1:8" s="779" customFormat="1" ht="15.95" customHeight="1" x14ac:dyDescent="0.2">
      <c r="A13" s="864" t="s">
        <v>660</v>
      </c>
      <c r="B13" s="953">
        <v>300000</v>
      </c>
      <c r="C13" s="875" t="s">
        <v>784</v>
      </c>
      <c r="D13" s="932"/>
      <c r="E13" s="932"/>
      <c r="F13" s="932">
        <v>300000</v>
      </c>
      <c r="G13" s="879">
        <f t="shared" si="0"/>
        <v>0</v>
      </c>
    </row>
    <row r="14" spans="1:8" s="779" customFormat="1" ht="18.75" customHeight="1" x14ac:dyDescent="0.2">
      <c r="A14" s="865" t="s">
        <v>661</v>
      </c>
      <c r="B14" s="953">
        <f>14880118+3119882</f>
        <v>18000000</v>
      </c>
      <c r="C14" s="875" t="s">
        <v>793</v>
      </c>
      <c r="D14" s="932"/>
      <c r="E14" s="932">
        <v>3119882</v>
      </c>
      <c r="F14" s="932">
        <v>14880118</v>
      </c>
      <c r="G14" s="879">
        <f t="shared" si="0"/>
        <v>0</v>
      </c>
    </row>
    <row r="15" spans="1:8" s="779" customFormat="1" ht="18.75" customHeight="1" x14ac:dyDescent="0.2">
      <c r="A15" s="865" t="s">
        <v>806</v>
      </c>
      <c r="B15" s="953">
        <v>0</v>
      </c>
      <c r="C15" s="875" t="s">
        <v>807</v>
      </c>
      <c r="D15" s="932"/>
      <c r="E15" s="932">
        <v>0</v>
      </c>
      <c r="F15" s="932">
        <v>0</v>
      </c>
      <c r="G15" s="879">
        <f t="shared" si="0"/>
        <v>0</v>
      </c>
    </row>
    <row r="16" spans="1:8" s="779" customFormat="1" ht="28.5" customHeight="1" x14ac:dyDescent="0.2">
      <c r="A16" s="873" t="s">
        <v>662</v>
      </c>
      <c r="B16" s="1186">
        <f>15797160+174312-488</f>
        <v>15970984</v>
      </c>
      <c r="C16" s="875" t="s">
        <v>803</v>
      </c>
      <c r="D16" s="932">
        <v>7616752</v>
      </c>
      <c r="E16" s="932">
        <v>3163512</v>
      </c>
      <c r="F16" s="932">
        <f>5016316+580+174312-488</f>
        <v>5190720</v>
      </c>
      <c r="G16" s="879">
        <f t="shared" si="0"/>
        <v>0</v>
      </c>
    </row>
    <row r="17" spans="1:7" s="779" customFormat="1" ht="15.95" customHeight="1" x14ac:dyDescent="0.2">
      <c r="A17" s="866" t="s">
        <v>663</v>
      </c>
      <c r="B17" s="953">
        <v>1016000</v>
      </c>
      <c r="C17" s="875" t="s">
        <v>784</v>
      </c>
      <c r="D17" s="932"/>
      <c r="E17" s="932"/>
      <c r="F17" s="932">
        <v>1016000</v>
      </c>
      <c r="G17" s="879">
        <f t="shared" si="0"/>
        <v>0</v>
      </c>
    </row>
    <row r="18" spans="1:7" s="779" customFormat="1" ht="15.95" customHeight="1" x14ac:dyDescent="0.2">
      <c r="A18" s="867" t="s">
        <v>664</v>
      </c>
      <c r="B18" s="953">
        <v>359410</v>
      </c>
      <c r="C18" s="875" t="s">
        <v>784</v>
      </c>
      <c r="D18" s="932"/>
      <c r="E18" s="932"/>
      <c r="F18" s="932">
        <v>359410</v>
      </c>
      <c r="G18" s="879">
        <f t="shared" si="0"/>
        <v>0</v>
      </c>
    </row>
    <row r="19" spans="1:7" s="779" customFormat="1" ht="15.95" customHeight="1" x14ac:dyDescent="0.2">
      <c r="A19" s="867" t="s">
        <v>665</v>
      </c>
      <c r="B19" s="953">
        <v>381000</v>
      </c>
      <c r="C19" s="875" t="s">
        <v>784</v>
      </c>
      <c r="D19" s="932"/>
      <c r="E19" s="932"/>
      <c r="F19" s="932">
        <v>381000</v>
      </c>
      <c r="G19" s="954">
        <f t="shared" si="0"/>
        <v>0</v>
      </c>
    </row>
    <row r="20" spans="1:7" s="779" customFormat="1" ht="15.95" customHeight="1" x14ac:dyDescent="0.2">
      <c r="A20" s="867" t="s">
        <v>666</v>
      </c>
      <c r="B20" s="953">
        <v>2540000</v>
      </c>
      <c r="C20" s="875" t="s">
        <v>784</v>
      </c>
      <c r="D20" s="932"/>
      <c r="E20" s="932"/>
      <c r="F20" s="932">
        <v>2540000</v>
      </c>
      <c r="G20" s="954">
        <f t="shared" si="0"/>
        <v>0</v>
      </c>
    </row>
    <row r="21" spans="1:7" s="779" customFormat="1" ht="31.5" customHeight="1" x14ac:dyDescent="0.2">
      <c r="A21" s="1300" t="s">
        <v>1028</v>
      </c>
      <c r="B21" s="953">
        <v>355000</v>
      </c>
      <c r="C21" s="875" t="s">
        <v>784</v>
      </c>
      <c r="D21" s="932"/>
      <c r="E21" s="932"/>
      <c r="F21" s="932">
        <v>355000</v>
      </c>
      <c r="G21" s="954">
        <f t="shared" si="0"/>
        <v>0</v>
      </c>
    </row>
    <row r="22" spans="1:7" s="779" customFormat="1" ht="21.75" customHeight="1" x14ac:dyDescent="0.2">
      <c r="A22" s="867" t="s">
        <v>804</v>
      </c>
      <c r="B22" s="953">
        <v>100000</v>
      </c>
      <c r="C22" s="875" t="s">
        <v>784</v>
      </c>
      <c r="D22" s="932"/>
      <c r="E22" s="932"/>
      <c r="F22" s="932">
        <v>100000</v>
      </c>
      <c r="G22" s="954">
        <f t="shared" si="0"/>
        <v>0</v>
      </c>
    </row>
    <row r="23" spans="1:7" s="778" customFormat="1" ht="15.75" customHeight="1" x14ac:dyDescent="0.2">
      <c r="A23" s="864" t="s">
        <v>667</v>
      </c>
      <c r="B23" s="953">
        <v>94488</v>
      </c>
      <c r="C23" s="875" t="s">
        <v>784</v>
      </c>
      <c r="D23" s="932"/>
      <c r="E23" s="932"/>
      <c r="F23" s="932">
        <v>94488</v>
      </c>
      <c r="G23" s="954">
        <f t="shared" si="0"/>
        <v>0</v>
      </c>
    </row>
    <row r="24" spans="1:7" s="779" customFormat="1" ht="25.5" x14ac:dyDescent="0.2">
      <c r="A24" s="867" t="s">
        <v>707</v>
      </c>
      <c r="B24" s="953">
        <v>6704583</v>
      </c>
      <c r="C24" s="875" t="s">
        <v>706</v>
      </c>
      <c r="D24" s="932">
        <v>1295700</v>
      </c>
      <c r="E24" s="932"/>
      <c r="F24" s="932">
        <v>5408883</v>
      </c>
      <c r="G24" s="954">
        <f t="shared" si="0"/>
        <v>0</v>
      </c>
    </row>
    <row r="25" spans="1:7" s="779" customFormat="1" ht="15.75" customHeight="1" x14ac:dyDescent="0.2">
      <c r="A25" s="868" t="s">
        <v>791</v>
      </c>
      <c r="B25" s="955">
        <v>81248690</v>
      </c>
      <c r="C25" s="956" t="s">
        <v>793</v>
      </c>
      <c r="D25" s="957">
        <v>16405674</v>
      </c>
      <c r="E25" s="957"/>
      <c r="F25" s="957">
        <f>64941946-98930</f>
        <v>64843016</v>
      </c>
      <c r="G25" s="954">
        <f t="shared" si="0"/>
        <v>0</v>
      </c>
    </row>
    <row r="26" spans="1:7" s="780" customFormat="1" ht="29.25" customHeight="1" x14ac:dyDescent="0.2">
      <c r="A26" s="868" t="s">
        <v>792</v>
      </c>
      <c r="B26" s="955">
        <v>127000</v>
      </c>
      <c r="C26" s="956" t="s">
        <v>784</v>
      </c>
      <c r="D26" s="957"/>
      <c r="E26" s="957"/>
      <c r="F26" s="957">
        <v>127000</v>
      </c>
      <c r="G26" s="869">
        <f t="shared" si="0"/>
        <v>0</v>
      </c>
    </row>
    <row r="27" spans="1:7" s="780" customFormat="1" ht="29.25" customHeight="1" x14ac:dyDescent="0.2">
      <c r="A27" s="868" t="s">
        <v>805</v>
      </c>
      <c r="B27" s="1390">
        <f>4000000-2400000</f>
        <v>1600000</v>
      </c>
      <c r="C27" s="956" t="s">
        <v>784</v>
      </c>
      <c r="D27" s="957"/>
      <c r="E27" s="957"/>
      <c r="F27" s="957">
        <f>4000000-2400000</f>
        <v>1600000</v>
      </c>
      <c r="G27" s="869">
        <f t="shared" si="0"/>
        <v>0</v>
      </c>
    </row>
    <row r="28" spans="1:7" s="779" customFormat="1" ht="15.75" customHeight="1" x14ac:dyDescent="0.2">
      <c r="A28" s="1139" t="s">
        <v>995</v>
      </c>
      <c r="B28" s="1390">
        <v>7239000</v>
      </c>
      <c r="C28" s="956" t="s">
        <v>793</v>
      </c>
      <c r="D28" s="957"/>
      <c r="E28" s="957"/>
      <c r="F28" s="957">
        <v>7239000</v>
      </c>
      <c r="G28" s="869">
        <f t="shared" si="0"/>
        <v>0</v>
      </c>
    </row>
    <row r="29" spans="1:7" s="778" customFormat="1" x14ac:dyDescent="0.2">
      <c r="A29" s="867" t="s">
        <v>683</v>
      </c>
      <c r="B29" s="1186">
        <v>398755</v>
      </c>
      <c r="C29" s="875" t="s">
        <v>784</v>
      </c>
      <c r="D29" s="932"/>
      <c r="E29" s="932"/>
      <c r="F29" s="932">
        <v>398755</v>
      </c>
      <c r="G29" s="954">
        <f t="shared" si="0"/>
        <v>0</v>
      </c>
    </row>
    <row r="30" spans="1:7" s="781" customFormat="1" ht="15.75" customHeight="1" x14ac:dyDescent="0.2">
      <c r="A30" s="867" t="s">
        <v>794</v>
      </c>
      <c r="B30" s="1186">
        <v>30000000</v>
      </c>
      <c r="C30" s="875" t="s">
        <v>793</v>
      </c>
      <c r="D30" s="932"/>
      <c r="E30" s="932"/>
      <c r="F30" s="932">
        <v>30000000</v>
      </c>
      <c r="G30" s="954">
        <f t="shared" si="0"/>
        <v>0</v>
      </c>
    </row>
    <row r="31" spans="1:7" s="781" customFormat="1" ht="15.75" customHeight="1" x14ac:dyDescent="0.2">
      <c r="A31" s="1300" t="s">
        <v>1030</v>
      </c>
      <c r="B31" s="1390">
        <v>400000</v>
      </c>
      <c r="C31" s="956" t="s">
        <v>784</v>
      </c>
      <c r="D31" s="957"/>
      <c r="E31" s="957"/>
      <c r="F31" s="957">
        <v>400000</v>
      </c>
      <c r="G31" s="958">
        <f t="shared" si="0"/>
        <v>0</v>
      </c>
    </row>
    <row r="32" spans="1:7" s="780" customFormat="1" ht="15.75" customHeight="1" x14ac:dyDescent="0.2">
      <c r="A32" s="1439" t="s">
        <v>795</v>
      </c>
      <c r="B32" s="1440">
        <f>152706150+10800000+381000</f>
        <v>163887150</v>
      </c>
      <c r="C32" s="1441" t="s">
        <v>793</v>
      </c>
      <c r="D32" s="1442">
        <v>4699000</v>
      </c>
      <c r="E32" s="1442">
        <f>10800000+11255853</f>
        <v>22055853</v>
      </c>
      <c r="F32" s="1442">
        <f>148007150-10874853</f>
        <v>137132297</v>
      </c>
      <c r="G32" s="1443">
        <f t="shared" si="0"/>
        <v>0</v>
      </c>
    </row>
    <row r="33" spans="1:7" s="778" customFormat="1" ht="15.75" customHeight="1" x14ac:dyDescent="0.2">
      <c r="A33" s="867" t="s">
        <v>796</v>
      </c>
      <c r="B33" s="1186">
        <f>691900-691900</f>
        <v>0</v>
      </c>
      <c r="C33" s="1391" t="s">
        <v>793</v>
      </c>
      <c r="D33" s="1302"/>
      <c r="E33" s="1302"/>
      <c r="F33" s="1302">
        <f>691900-691900</f>
        <v>0</v>
      </c>
      <c r="G33" s="1303">
        <f t="shared" si="0"/>
        <v>0</v>
      </c>
    </row>
    <row r="34" spans="1:7" s="780" customFormat="1" ht="15.75" customHeight="1" x14ac:dyDescent="0.2">
      <c r="A34" s="867" t="s">
        <v>797</v>
      </c>
      <c r="B34" s="953">
        <f>403860-1</f>
        <v>403859</v>
      </c>
      <c r="C34" s="875" t="s">
        <v>784</v>
      </c>
      <c r="D34" s="932"/>
      <c r="E34" s="932"/>
      <c r="F34" s="932">
        <f>403860-1</f>
        <v>403859</v>
      </c>
      <c r="G34" s="880">
        <f t="shared" si="0"/>
        <v>0</v>
      </c>
    </row>
    <row r="35" spans="1:7" s="783" customFormat="1" ht="15.75" customHeight="1" x14ac:dyDescent="0.2">
      <c r="A35" s="867" t="s">
        <v>1001</v>
      </c>
      <c r="B35" s="1186">
        <v>6000000</v>
      </c>
      <c r="C35" s="875" t="s">
        <v>784</v>
      </c>
      <c r="D35" s="932"/>
      <c r="E35" s="932"/>
      <c r="F35" s="932">
        <v>6000000</v>
      </c>
      <c r="G35" s="954">
        <f t="shared" si="0"/>
        <v>0</v>
      </c>
    </row>
    <row r="36" spans="1:7" s="783" customFormat="1" ht="15.75" customHeight="1" x14ac:dyDescent="0.2">
      <c r="A36" s="867" t="s">
        <v>1025</v>
      </c>
      <c r="B36" s="1186">
        <v>1000000</v>
      </c>
      <c r="C36" s="875" t="s">
        <v>784</v>
      </c>
      <c r="D36" s="1188"/>
      <c r="E36" s="1188"/>
      <c r="F36" s="932">
        <v>1000000</v>
      </c>
      <c r="G36" s="1301">
        <f t="shared" si="0"/>
        <v>0</v>
      </c>
    </row>
    <row r="37" spans="1:7" s="783" customFormat="1" ht="15.75" customHeight="1" x14ac:dyDescent="0.2">
      <c r="A37" s="1397" t="s">
        <v>1029</v>
      </c>
      <c r="B37" s="1398">
        <v>5200000</v>
      </c>
      <c r="C37" s="875" t="s">
        <v>784</v>
      </c>
      <c r="D37" s="932"/>
      <c r="E37" s="932"/>
      <c r="F37" s="932">
        <v>5200000</v>
      </c>
      <c r="G37" s="1399">
        <f t="shared" si="0"/>
        <v>0</v>
      </c>
    </row>
    <row r="38" spans="1:7" s="783" customFormat="1" ht="15.75" customHeight="1" x14ac:dyDescent="0.2">
      <c r="A38" s="1437" t="s">
        <v>1044</v>
      </c>
      <c r="B38" s="1438">
        <v>10147300</v>
      </c>
      <c r="C38" s="1304" t="s">
        <v>807</v>
      </c>
      <c r="D38" s="1188"/>
      <c r="E38" s="1188"/>
      <c r="F38" s="1188">
        <v>10147300</v>
      </c>
      <c r="G38" s="1399">
        <f t="shared" ref="G38" si="1">B38-D38-F38-E38</f>
        <v>0</v>
      </c>
    </row>
    <row r="39" spans="1:7" s="779" customFormat="1" ht="13.5" thickBot="1" x14ac:dyDescent="0.25">
      <c r="A39" s="1392" t="s">
        <v>912</v>
      </c>
      <c r="B39" s="1393">
        <f>SUM(B40:B43)</f>
        <v>5047400</v>
      </c>
      <c r="C39" s="1394"/>
      <c r="D39" s="1395"/>
      <c r="E39" s="1395"/>
      <c r="F39" s="1395">
        <f>SUM(F40:F43)</f>
        <v>5047400</v>
      </c>
      <c r="G39" s="1396">
        <f t="shared" si="0"/>
        <v>0</v>
      </c>
    </row>
    <row r="40" spans="1:7" s="778" customFormat="1" ht="15.75" customHeight="1" x14ac:dyDescent="0.2">
      <c r="A40" s="870" t="s">
        <v>657</v>
      </c>
      <c r="B40" s="959">
        <v>1475000</v>
      </c>
      <c r="C40" s="950" t="s">
        <v>784</v>
      </c>
      <c r="D40" s="960"/>
      <c r="E40" s="960"/>
      <c r="F40" s="960">
        <v>1475000</v>
      </c>
      <c r="G40" s="961">
        <f t="shared" si="0"/>
        <v>0</v>
      </c>
    </row>
    <row r="41" spans="1:7" s="778" customFormat="1" x14ac:dyDescent="0.2">
      <c r="A41" s="870" t="s">
        <v>658</v>
      </c>
      <c r="B41" s="959">
        <v>1905000</v>
      </c>
      <c r="C41" s="875" t="s">
        <v>784</v>
      </c>
      <c r="D41" s="962"/>
      <c r="E41" s="962"/>
      <c r="F41" s="962">
        <v>1905000</v>
      </c>
      <c r="G41" s="963">
        <f t="shared" si="0"/>
        <v>0</v>
      </c>
    </row>
    <row r="42" spans="1:7" s="779" customFormat="1" x14ac:dyDescent="0.2">
      <c r="A42" s="871" t="s">
        <v>910</v>
      </c>
      <c r="B42" s="949">
        <v>1437400</v>
      </c>
      <c r="C42" s="875" t="s">
        <v>784</v>
      </c>
      <c r="D42" s="932"/>
      <c r="E42" s="932"/>
      <c r="F42" s="932">
        <v>1437400</v>
      </c>
      <c r="G42" s="964">
        <f t="shared" si="0"/>
        <v>0</v>
      </c>
    </row>
    <row r="43" spans="1:7" s="779" customFormat="1" ht="15.75" customHeight="1" thickBot="1" x14ac:dyDescent="0.25">
      <c r="A43" s="872" t="s">
        <v>808</v>
      </c>
      <c r="B43" s="965">
        <v>230000</v>
      </c>
      <c r="C43" s="883" t="s">
        <v>784</v>
      </c>
      <c r="D43" s="966"/>
      <c r="E43" s="966"/>
      <c r="F43" s="966">
        <v>230000</v>
      </c>
      <c r="G43" s="967">
        <f t="shared" si="0"/>
        <v>0</v>
      </c>
    </row>
    <row r="44" spans="1:7" s="780" customFormat="1" ht="15.75" customHeight="1" thickBot="1" x14ac:dyDescent="0.25">
      <c r="A44" s="890" t="s">
        <v>913</v>
      </c>
      <c r="B44" s="933">
        <f>SUM(B45:B47)</f>
        <v>1500000</v>
      </c>
      <c r="C44" s="891"/>
      <c r="D44" s="934"/>
      <c r="E44" s="1043"/>
      <c r="F44" s="933">
        <f>SUM(F45:F47)</f>
        <v>1500000</v>
      </c>
      <c r="G44" s="892">
        <f t="shared" si="0"/>
        <v>0</v>
      </c>
    </row>
    <row r="45" spans="1:7" s="780" customFormat="1" ht="25.5" x14ac:dyDescent="0.2">
      <c r="A45" s="887" t="s">
        <v>853</v>
      </c>
      <c r="B45" s="935">
        <v>533400</v>
      </c>
      <c r="C45" s="888" t="s">
        <v>784</v>
      </c>
      <c r="D45" s="936"/>
      <c r="E45" s="936"/>
      <c r="F45" s="936">
        <v>533400</v>
      </c>
      <c r="G45" s="889">
        <f t="shared" si="0"/>
        <v>0</v>
      </c>
    </row>
    <row r="46" spans="1:7" s="781" customFormat="1" ht="15.75" customHeight="1" x14ac:dyDescent="0.2">
      <c r="A46" s="815" t="s">
        <v>854</v>
      </c>
      <c r="B46" s="937">
        <v>716600</v>
      </c>
      <c r="C46" s="816" t="s">
        <v>784</v>
      </c>
      <c r="D46" s="938"/>
      <c r="E46" s="938"/>
      <c r="F46" s="938">
        <v>716600</v>
      </c>
      <c r="G46" s="817">
        <f t="shared" si="0"/>
        <v>0</v>
      </c>
    </row>
    <row r="47" spans="1:7" s="781" customFormat="1" ht="15.75" customHeight="1" thickBot="1" x14ac:dyDescent="0.25">
      <c r="A47" s="818" t="s">
        <v>855</v>
      </c>
      <c r="B47" s="939">
        <v>250000</v>
      </c>
      <c r="C47" s="819" t="s">
        <v>784</v>
      </c>
      <c r="D47" s="940"/>
      <c r="E47" s="940"/>
      <c r="F47" s="940">
        <v>250000</v>
      </c>
      <c r="G47" s="817">
        <f t="shared" si="0"/>
        <v>0</v>
      </c>
    </row>
    <row r="48" spans="1:7" s="781" customFormat="1" ht="15.75" customHeight="1" thickBot="1" x14ac:dyDescent="0.25">
      <c r="A48" s="890" t="s">
        <v>914</v>
      </c>
      <c r="B48" s="933">
        <f>SUM(B49:B53)</f>
        <v>712620</v>
      </c>
      <c r="C48" s="895"/>
      <c r="D48" s="933">
        <f>SUM(D49:D53)</f>
        <v>0</v>
      </c>
      <c r="E48" s="933"/>
      <c r="F48" s="933">
        <f>SUM(F49:F53)</f>
        <v>712620</v>
      </c>
      <c r="G48" s="829">
        <f t="shared" si="0"/>
        <v>0</v>
      </c>
    </row>
    <row r="49" spans="1:7" s="780" customFormat="1" ht="15.75" customHeight="1" x14ac:dyDescent="0.2">
      <c r="A49" s="887" t="s">
        <v>658</v>
      </c>
      <c r="B49" s="935">
        <v>254000</v>
      </c>
      <c r="C49" s="888" t="s">
        <v>784</v>
      </c>
      <c r="D49" s="936"/>
      <c r="E49" s="936"/>
      <c r="F49" s="936">
        <v>254000</v>
      </c>
      <c r="G49" s="894">
        <f t="shared" si="0"/>
        <v>0</v>
      </c>
    </row>
    <row r="50" spans="1:7" s="781" customFormat="1" ht="26.25" customHeight="1" x14ac:dyDescent="0.2">
      <c r="A50" s="815" t="s">
        <v>858</v>
      </c>
      <c r="B50" s="937">
        <v>120800</v>
      </c>
      <c r="C50" s="816" t="s">
        <v>784</v>
      </c>
      <c r="D50" s="938"/>
      <c r="E50" s="938"/>
      <c r="F50" s="938">
        <v>120800</v>
      </c>
      <c r="G50" s="817">
        <f t="shared" si="0"/>
        <v>0</v>
      </c>
    </row>
    <row r="51" spans="1:7" s="781" customFormat="1" ht="19.5" customHeight="1" x14ac:dyDescent="0.2">
      <c r="A51" s="815" t="s">
        <v>860</v>
      </c>
      <c r="B51" s="937">
        <v>38100</v>
      </c>
      <c r="C51" s="816" t="s">
        <v>784</v>
      </c>
      <c r="D51" s="938"/>
      <c r="E51" s="938"/>
      <c r="F51" s="938">
        <v>38100</v>
      </c>
      <c r="G51" s="817">
        <f t="shared" si="0"/>
        <v>0</v>
      </c>
    </row>
    <row r="52" spans="1:7" s="780" customFormat="1" ht="15.75" customHeight="1" x14ac:dyDescent="0.2">
      <c r="A52" s="815" t="s">
        <v>859</v>
      </c>
      <c r="B52" s="937">
        <v>45720</v>
      </c>
      <c r="C52" s="816" t="s">
        <v>784</v>
      </c>
      <c r="D52" s="938"/>
      <c r="E52" s="938"/>
      <c r="F52" s="938">
        <v>45720</v>
      </c>
      <c r="G52" s="817">
        <f t="shared" si="0"/>
        <v>0</v>
      </c>
    </row>
    <row r="53" spans="1:7" s="779" customFormat="1" ht="13.5" thickBot="1" x14ac:dyDescent="0.25">
      <c r="A53" s="815" t="s">
        <v>854</v>
      </c>
      <c r="B53" s="937">
        <v>254000</v>
      </c>
      <c r="C53" s="816" t="s">
        <v>784</v>
      </c>
      <c r="D53" s="938"/>
      <c r="E53" s="938"/>
      <c r="F53" s="938">
        <v>254000</v>
      </c>
      <c r="G53" s="817">
        <f t="shared" si="0"/>
        <v>0</v>
      </c>
    </row>
    <row r="54" spans="1:7" s="779" customFormat="1" ht="15.75" customHeight="1" thickBot="1" x14ac:dyDescent="0.25">
      <c r="A54" s="897" t="s">
        <v>915</v>
      </c>
      <c r="B54" s="933">
        <f>SUM(B55:B61)</f>
        <v>3966583</v>
      </c>
      <c r="C54" s="895"/>
      <c r="D54" s="933">
        <f>SUM(D55:D61)</f>
        <v>0</v>
      </c>
      <c r="E54" s="933"/>
      <c r="F54" s="933">
        <f>SUM(F55:F61)</f>
        <v>3966583</v>
      </c>
      <c r="G54" s="829">
        <f t="shared" si="0"/>
        <v>0</v>
      </c>
    </row>
    <row r="55" spans="1:7" s="779" customFormat="1" ht="15.75" customHeight="1" x14ac:dyDescent="0.2">
      <c r="A55" s="896" t="s">
        <v>861</v>
      </c>
      <c r="B55" s="935">
        <v>661299</v>
      </c>
      <c r="C55" s="888" t="s">
        <v>784</v>
      </c>
      <c r="D55" s="936"/>
      <c r="E55" s="936"/>
      <c r="F55" s="936">
        <v>661299</v>
      </c>
      <c r="G55" s="894">
        <f t="shared" si="0"/>
        <v>0</v>
      </c>
    </row>
    <row r="56" spans="1:7" s="821" customFormat="1" ht="15.75" customHeight="1" x14ac:dyDescent="0.2">
      <c r="A56" s="820" t="s">
        <v>863</v>
      </c>
      <c r="B56" s="937">
        <v>1643564</v>
      </c>
      <c r="C56" s="816" t="s">
        <v>784</v>
      </c>
      <c r="D56" s="938"/>
      <c r="E56" s="938"/>
      <c r="F56" s="938">
        <v>1643564</v>
      </c>
      <c r="G56" s="817">
        <f t="shared" si="0"/>
        <v>0</v>
      </c>
    </row>
    <row r="57" spans="1:7" s="781" customFormat="1" ht="15.75" customHeight="1" x14ac:dyDescent="0.2">
      <c r="A57" s="820" t="s">
        <v>850</v>
      </c>
      <c r="B57" s="1371">
        <f>144060+127598</f>
        <v>271658</v>
      </c>
      <c r="C57" s="816" t="s">
        <v>784</v>
      </c>
      <c r="D57" s="938"/>
      <c r="E57" s="938"/>
      <c r="F57" s="1372">
        <f>144060+127598</f>
        <v>271658</v>
      </c>
      <c r="G57" s="817">
        <f t="shared" si="0"/>
        <v>0</v>
      </c>
    </row>
    <row r="58" spans="1:7" s="781" customFormat="1" ht="15.75" customHeight="1" x14ac:dyDescent="0.2">
      <c r="A58" s="820" t="s">
        <v>862</v>
      </c>
      <c r="B58" s="937">
        <v>78232</v>
      </c>
      <c r="C58" s="816" t="s">
        <v>784</v>
      </c>
      <c r="D58" s="938"/>
      <c r="E58" s="938"/>
      <c r="F58" s="938">
        <v>78232</v>
      </c>
      <c r="G58" s="817">
        <v>0</v>
      </c>
    </row>
    <row r="59" spans="1:7" s="781" customFormat="1" ht="15.75" customHeight="1" x14ac:dyDescent="0.2">
      <c r="A59" s="1296" t="s">
        <v>1026</v>
      </c>
      <c r="B59" s="1297">
        <v>727000</v>
      </c>
      <c r="C59" s="1298" t="s">
        <v>784</v>
      </c>
      <c r="D59" s="1299"/>
      <c r="E59" s="1299"/>
      <c r="F59" s="1299">
        <v>727000</v>
      </c>
      <c r="G59" s="1187">
        <f t="shared" ref="G59:G60" si="2">B59-D59-F59-E59</f>
        <v>0</v>
      </c>
    </row>
    <row r="60" spans="1:7" s="781" customFormat="1" ht="15.75" customHeight="1" x14ac:dyDescent="0.2">
      <c r="A60" s="1424" t="s">
        <v>1043</v>
      </c>
      <c r="B60" s="1371">
        <v>249830</v>
      </c>
      <c r="C60" s="1425" t="s">
        <v>784</v>
      </c>
      <c r="D60" s="1372"/>
      <c r="E60" s="1372"/>
      <c r="F60" s="1372">
        <v>249830</v>
      </c>
      <c r="G60" s="817">
        <f t="shared" si="2"/>
        <v>0</v>
      </c>
    </row>
    <row r="61" spans="1:7" s="781" customFormat="1" ht="15.75" customHeight="1" thickBot="1" x14ac:dyDescent="0.25">
      <c r="A61" s="1426" t="s">
        <v>1042</v>
      </c>
      <c r="B61" s="1371">
        <v>335000</v>
      </c>
      <c r="C61" s="1425" t="s">
        <v>784</v>
      </c>
      <c r="D61" s="1372"/>
      <c r="E61" s="1372"/>
      <c r="F61" s="1372">
        <v>335000</v>
      </c>
      <c r="G61" s="1187">
        <f t="shared" si="0"/>
        <v>0</v>
      </c>
    </row>
    <row r="62" spans="1:7" s="824" customFormat="1" ht="35.25" customHeight="1" thickBot="1" x14ac:dyDescent="0.25">
      <c r="A62" s="903" t="s">
        <v>917</v>
      </c>
      <c r="B62" s="933">
        <f>SUM(B63:B71)</f>
        <v>18125051</v>
      </c>
      <c r="C62" s="895"/>
      <c r="D62" s="933">
        <f>SUM(D63:D71)</f>
        <v>0</v>
      </c>
      <c r="E62" s="933"/>
      <c r="F62" s="933">
        <f>SUM(F63:F71)</f>
        <v>18125051</v>
      </c>
      <c r="G62" s="829">
        <f t="shared" si="0"/>
        <v>0</v>
      </c>
    </row>
    <row r="63" spans="1:7" s="781" customFormat="1" ht="21" customHeight="1" x14ac:dyDescent="0.2">
      <c r="A63" s="902" t="s">
        <v>918</v>
      </c>
      <c r="B63" s="935"/>
      <c r="C63" s="888"/>
      <c r="D63" s="936"/>
      <c r="E63" s="936"/>
      <c r="F63" s="936"/>
      <c r="G63" s="894">
        <f t="shared" si="0"/>
        <v>0</v>
      </c>
    </row>
    <row r="64" spans="1:7" s="781" customFormat="1" ht="21" customHeight="1" x14ac:dyDescent="0.2">
      <c r="A64" s="820" t="s">
        <v>866</v>
      </c>
      <c r="B64" s="937">
        <v>177800</v>
      </c>
      <c r="C64" s="816" t="s">
        <v>784</v>
      </c>
      <c r="D64" s="938"/>
      <c r="E64" s="1044"/>
      <c r="F64" s="937">
        <v>177800</v>
      </c>
      <c r="G64" s="817">
        <f t="shared" si="0"/>
        <v>0</v>
      </c>
    </row>
    <row r="65" spans="1:7" s="781" customFormat="1" ht="21" customHeight="1" x14ac:dyDescent="0.2">
      <c r="A65" s="820" t="s">
        <v>867</v>
      </c>
      <c r="B65" s="937">
        <v>254000</v>
      </c>
      <c r="C65" s="816" t="s">
        <v>784</v>
      </c>
      <c r="D65" s="938"/>
      <c r="E65" s="1044"/>
      <c r="F65" s="937">
        <v>254000</v>
      </c>
      <c r="G65" s="817">
        <f t="shared" si="0"/>
        <v>0</v>
      </c>
    </row>
    <row r="66" spans="1:7" s="781" customFormat="1" ht="21" customHeight="1" x14ac:dyDescent="0.2">
      <c r="A66" s="820" t="s">
        <v>868</v>
      </c>
      <c r="B66" s="937">
        <v>114300</v>
      </c>
      <c r="C66" s="816" t="s">
        <v>784</v>
      </c>
      <c r="D66" s="938"/>
      <c r="E66" s="1044"/>
      <c r="F66" s="937">
        <v>114300</v>
      </c>
      <c r="G66" s="817">
        <f t="shared" si="0"/>
        <v>0</v>
      </c>
    </row>
    <row r="67" spans="1:7" s="781" customFormat="1" ht="21" customHeight="1" x14ac:dyDescent="0.2">
      <c r="A67" s="820" t="s">
        <v>869</v>
      </c>
      <c r="B67" s="937">
        <v>88668</v>
      </c>
      <c r="C67" s="816" t="s">
        <v>784</v>
      </c>
      <c r="D67" s="938"/>
      <c r="E67" s="1044"/>
      <c r="F67" s="937">
        <v>88668</v>
      </c>
      <c r="G67" s="817">
        <f t="shared" si="0"/>
        <v>0</v>
      </c>
    </row>
    <row r="68" spans="1:7" s="781" customFormat="1" ht="21" customHeight="1" x14ac:dyDescent="0.2">
      <c r="A68" s="820" t="s">
        <v>870</v>
      </c>
      <c r="B68" s="937">
        <v>952552</v>
      </c>
      <c r="C68" s="816" t="s">
        <v>784</v>
      </c>
      <c r="D68" s="938"/>
      <c r="E68" s="1044"/>
      <c r="F68" s="937">
        <v>952552</v>
      </c>
      <c r="G68" s="817">
        <f t="shared" si="0"/>
        <v>0</v>
      </c>
    </row>
    <row r="69" spans="1:7" s="781" customFormat="1" ht="21" customHeight="1" x14ac:dyDescent="0.2">
      <c r="A69" s="820" t="s">
        <v>871</v>
      </c>
      <c r="B69" s="937">
        <v>1500000</v>
      </c>
      <c r="C69" s="816" t="s">
        <v>784</v>
      </c>
      <c r="D69" s="938"/>
      <c r="E69" s="938"/>
      <c r="F69" s="938">
        <v>1500000</v>
      </c>
      <c r="G69" s="817">
        <f t="shared" si="0"/>
        <v>0</v>
      </c>
    </row>
    <row r="70" spans="1:7" s="781" customFormat="1" x14ac:dyDescent="0.2">
      <c r="A70" s="822" t="s">
        <v>851</v>
      </c>
      <c r="B70" s="937">
        <f>1092200+101600</f>
        <v>1193800</v>
      </c>
      <c r="C70" s="816" t="s">
        <v>793</v>
      </c>
      <c r="D70" s="938">
        <v>0</v>
      </c>
      <c r="E70" s="938"/>
      <c r="F70" s="938">
        <f>1092200+101600</f>
        <v>1193800</v>
      </c>
      <c r="G70" s="817">
        <f t="shared" si="0"/>
        <v>0</v>
      </c>
    </row>
    <row r="71" spans="1:7" s="781" customFormat="1" ht="26.25" thickBot="1" x14ac:dyDescent="0.25">
      <c r="A71" s="823" t="s">
        <v>872</v>
      </c>
      <c r="B71" s="937">
        <f>150000+4056987+9296944+340000</f>
        <v>13843931</v>
      </c>
      <c r="C71" s="816" t="s">
        <v>784</v>
      </c>
      <c r="D71" s="938"/>
      <c r="E71" s="938"/>
      <c r="F71" s="938">
        <v>13843931</v>
      </c>
      <c r="G71" s="817">
        <f t="shared" si="0"/>
        <v>0</v>
      </c>
    </row>
    <row r="72" spans="1:7" s="779" customFormat="1" ht="21" customHeight="1" thickBot="1" x14ac:dyDescent="0.25">
      <c r="A72" s="899" t="s">
        <v>916</v>
      </c>
      <c r="B72" s="941">
        <f>SUM(B73:B75)</f>
        <v>610850</v>
      </c>
      <c r="C72" s="900"/>
      <c r="D72" s="941">
        <f>SUM(D73:D75)</f>
        <v>0</v>
      </c>
      <c r="E72" s="941"/>
      <c r="F72" s="941">
        <f>SUM(F73:F75)</f>
        <v>610850</v>
      </c>
      <c r="G72" s="901">
        <f t="shared" si="0"/>
        <v>0</v>
      </c>
    </row>
    <row r="73" spans="1:7" s="778" customFormat="1" ht="19.5" customHeight="1" x14ac:dyDescent="0.2">
      <c r="A73" s="898" t="s">
        <v>658</v>
      </c>
      <c r="B73" s="935">
        <v>50800</v>
      </c>
      <c r="C73" s="888" t="s">
        <v>784</v>
      </c>
      <c r="D73" s="936"/>
      <c r="E73" s="936"/>
      <c r="F73" s="936">
        <v>50800</v>
      </c>
      <c r="G73" s="894">
        <f t="shared" si="0"/>
        <v>0</v>
      </c>
    </row>
    <row r="74" spans="1:7" s="781" customFormat="1" ht="19.5" customHeight="1" x14ac:dyDescent="0.2">
      <c r="A74" s="825" t="s">
        <v>864</v>
      </c>
      <c r="B74" s="942">
        <v>215520</v>
      </c>
      <c r="C74" s="826" t="s">
        <v>784</v>
      </c>
      <c r="D74" s="943"/>
      <c r="E74" s="943"/>
      <c r="F74" s="943">
        <v>215520</v>
      </c>
      <c r="G74" s="827">
        <f t="shared" si="0"/>
        <v>0</v>
      </c>
    </row>
    <row r="75" spans="1:7" s="781" customFormat="1" ht="19.5" customHeight="1" thickBot="1" x14ac:dyDescent="0.25">
      <c r="A75" s="825" t="s">
        <v>865</v>
      </c>
      <c r="B75" s="942">
        <v>344530</v>
      </c>
      <c r="C75" s="826" t="s">
        <v>784</v>
      </c>
      <c r="D75" s="943"/>
      <c r="E75" s="943"/>
      <c r="F75" s="943">
        <v>344530</v>
      </c>
      <c r="G75" s="827">
        <f t="shared" si="0"/>
        <v>0</v>
      </c>
    </row>
    <row r="76" spans="1:7" s="779" customFormat="1" ht="19.5" customHeight="1" thickBot="1" x14ac:dyDescent="0.25">
      <c r="A76" s="828" t="s">
        <v>852</v>
      </c>
      <c r="B76" s="944">
        <f>B72+B62+B54+B48+B44+B39</f>
        <v>29962504</v>
      </c>
      <c r="C76" s="945"/>
      <c r="D76" s="944">
        <f>D72+D62+D54+D48+D44+D39</f>
        <v>0</v>
      </c>
      <c r="E76" s="944"/>
      <c r="F76" s="944">
        <f>F72+F62+F54+F48+F44+F39</f>
        <v>29962504</v>
      </c>
      <c r="G76" s="829">
        <f t="shared" si="0"/>
        <v>0</v>
      </c>
    </row>
    <row r="77" spans="1:7" s="779" customFormat="1" ht="19.5" customHeight="1" thickBot="1" x14ac:dyDescent="0.25">
      <c r="A77" s="828" t="s">
        <v>919</v>
      </c>
      <c r="B77" s="944">
        <f>B76+B7</f>
        <v>850601758</v>
      </c>
      <c r="C77" s="945"/>
      <c r="D77" s="944">
        <f>D76+D7</f>
        <v>149638572</v>
      </c>
      <c r="E77" s="944">
        <f>+E76+E7</f>
        <v>35489968</v>
      </c>
      <c r="F77" s="944">
        <f>F76+F7</f>
        <v>675620518</v>
      </c>
      <c r="G77" s="829">
        <f t="shared" si="0"/>
        <v>-10147300</v>
      </c>
    </row>
    <row r="78" spans="1:7" x14ac:dyDescent="0.2">
      <c r="F78" s="779">
        <f>'1.1.sz.mell. '!C123</f>
        <v>675620518</v>
      </c>
    </row>
    <row r="79" spans="1:7" x14ac:dyDescent="0.2">
      <c r="F79" s="779">
        <f>F77-F78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rowBreaks count="2" manualBreakCount="2">
    <brk id="71" max="6" man="1"/>
    <brk id="77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G27"/>
  <sheetViews>
    <sheetView topLeftCell="A10" zoomScaleSheetLayoutView="115" workbookViewId="0">
      <selection activeCell="D15" sqref="D15"/>
    </sheetView>
  </sheetViews>
  <sheetFormatPr defaultRowHeight="12.75" x14ac:dyDescent="0.2"/>
  <cols>
    <col min="1" max="1" width="60.6640625" style="782" customWidth="1"/>
    <col min="2" max="2" width="15.6640625" style="783" customWidth="1"/>
    <col min="3" max="3" width="16.33203125" style="783" customWidth="1"/>
    <col min="4" max="4" width="18" style="783" customWidth="1"/>
    <col min="5" max="5" width="16.6640625" style="783" customWidth="1"/>
    <col min="6" max="6" width="18.83203125" style="783" customWidth="1"/>
    <col min="7" max="8" width="12.83203125" style="1008" customWidth="1"/>
    <col min="9" max="9" width="13.83203125" style="1008" customWidth="1"/>
    <col min="10" max="16384" width="9.33203125" style="1008"/>
  </cols>
  <sheetData>
    <row r="1" spans="1:7" s="783" customFormat="1" ht="15.75" x14ac:dyDescent="0.2">
      <c r="A1" s="1485" t="str">
        <f>CONCATENATE("8. melléklet"," ",ALAPADATOK!A7," ",ALAPADATOK!B7," ",ALAPADATOK!C7," ",ALAPADATOK!D7," ",ALAPADATOK!E7," ",ALAPADATOK!F7," ",ALAPADATOK!G7," ",ALAPADATOK!H7)</f>
        <v>8. melléklet a  / 2020. (  ) önkormányzati rendelethez</v>
      </c>
      <c r="B1" s="1485"/>
      <c r="C1" s="1485"/>
      <c r="D1" s="1485"/>
      <c r="E1" s="1485"/>
      <c r="F1" s="1485"/>
    </row>
    <row r="3" spans="1:7" ht="24.75" customHeight="1" x14ac:dyDescent="0.2">
      <c r="A3" s="1486" t="s">
        <v>8</v>
      </c>
      <c r="B3" s="1486"/>
      <c r="C3" s="1486"/>
      <c r="D3" s="1486"/>
      <c r="E3" s="1486"/>
      <c r="F3" s="1486"/>
    </row>
    <row r="4" spans="1:7" ht="23.25" customHeight="1" thickBot="1" x14ac:dyDescent="0.3">
      <c r="A4" s="772"/>
      <c r="B4" s="771"/>
      <c r="C4" s="771"/>
      <c r="D4" s="771"/>
      <c r="E4" s="771"/>
      <c r="F4" s="773" t="s">
        <v>557</v>
      </c>
    </row>
    <row r="5" spans="1:7" s="770" customFormat="1" ht="48.75" customHeight="1" thickBot="1" x14ac:dyDescent="0.25">
      <c r="A5" s="830" t="s">
        <v>70</v>
      </c>
      <c r="B5" s="831" t="s">
        <v>68</v>
      </c>
      <c r="C5" s="831" t="s">
        <v>69</v>
      </c>
      <c r="D5" s="831" t="s">
        <v>785</v>
      </c>
      <c r="E5" s="831" t="s">
        <v>786</v>
      </c>
      <c r="F5" s="832" t="s">
        <v>801</v>
      </c>
      <c r="G5" s="294"/>
    </row>
    <row r="6" spans="1:7" s="854" customFormat="1" ht="15" customHeight="1" x14ac:dyDescent="0.2">
      <c r="A6" s="833">
        <v>1</v>
      </c>
      <c r="B6" s="834">
        <v>2</v>
      </c>
      <c r="C6" s="834">
        <v>3</v>
      </c>
      <c r="D6" s="834">
        <v>4</v>
      </c>
      <c r="E6" s="834">
        <v>5</v>
      </c>
      <c r="F6" s="835">
        <v>6</v>
      </c>
    </row>
    <row r="7" spans="1:7" s="854" customFormat="1" ht="15" customHeight="1" x14ac:dyDescent="0.2">
      <c r="A7" s="1487" t="s">
        <v>684</v>
      </c>
      <c r="B7" s="1488"/>
      <c r="C7" s="1488"/>
      <c r="D7" s="1488"/>
      <c r="E7" s="1488"/>
      <c r="F7" s="1489"/>
    </row>
    <row r="8" spans="1:7" s="778" customFormat="1" ht="15.95" customHeight="1" x14ac:dyDescent="0.2">
      <c r="A8" s="873" t="s">
        <v>788</v>
      </c>
      <c r="B8" s="874">
        <v>80112238</v>
      </c>
      <c r="C8" s="875" t="s">
        <v>793</v>
      </c>
      <c r="D8" s="876"/>
      <c r="E8" s="876">
        <v>80112238</v>
      </c>
      <c r="F8" s="877">
        <f>B8-D8-E8</f>
        <v>0</v>
      </c>
    </row>
    <row r="9" spans="1:7" ht="15.95" customHeight="1" x14ac:dyDescent="0.2">
      <c r="A9" s="873" t="s">
        <v>811</v>
      </c>
      <c r="B9" s="874">
        <v>2286000</v>
      </c>
      <c r="C9" s="875" t="s">
        <v>784</v>
      </c>
      <c r="D9" s="876"/>
      <c r="E9" s="876">
        <v>2286000</v>
      </c>
      <c r="F9" s="877">
        <f t="shared" ref="F9:F18" si="0">B9-D9-E9</f>
        <v>0</v>
      </c>
    </row>
    <row r="10" spans="1:7" ht="15.95" customHeight="1" x14ac:dyDescent="0.2">
      <c r="A10" s="873" t="s">
        <v>659</v>
      </c>
      <c r="B10" s="874">
        <v>6350000</v>
      </c>
      <c r="C10" s="875" t="s">
        <v>784</v>
      </c>
      <c r="D10" s="876"/>
      <c r="E10" s="876">
        <v>6350000</v>
      </c>
      <c r="F10" s="877">
        <f t="shared" si="0"/>
        <v>0</v>
      </c>
    </row>
    <row r="11" spans="1:7" ht="15.95" customHeight="1" x14ac:dyDescent="0.2">
      <c r="A11" s="873" t="s">
        <v>810</v>
      </c>
      <c r="B11" s="886">
        <v>952500</v>
      </c>
      <c r="C11" s="875" t="s">
        <v>784</v>
      </c>
      <c r="D11" s="876"/>
      <c r="E11" s="876">
        <v>952500</v>
      </c>
      <c r="F11" s="877">
        <f t="shared" si="0"/>
        <v>0</v>
      </c>
    </row>
    <row r="12" spans="1:7" s="363" customFormat="1" ht="15.95" customHeight="1" x14ac:dyDescent="0.2">
      <c r="A12" s="1444" t="s">
        <v>708</v>
      </c>
      <c r="B12" s="886">
        <f>48292993+677185+322815+317500</f>
        <v>49610493</v>
      </c>
      <c r="C12" s="875" t="s">
        <v>706</v>
      </c>
      <c r="D12" s="876">
        <f>36051833-1206500</f>
        <v>34845333</v>
      </c>
      <c r="E12" s="876">
        <f>12241160+677185+322815+1524000</f>
        <v>14765160</v>
      </c>
      <c r="F12" s="879">
        <f t="shared" si="0"/>
        <v>0</v>
      </c>
    </row>
    <row r="13" spans="1:7" ht="15.95" customHeight="1" x14ac:dyDescent="0.2">
      <c r="A13" s="1444" t="s">
        <v>668</v>
      </c>
      <c r="B13" s="886">
        <v>2540000</v>
      </c>
      <c r="C13" s="875" t="s">
        <v>784</v>
      </c>
      <c r="D13" s="876"/>
      <c r="E13" s="876">
        <v>2540000</v>
      </c>
      <c r="F13" s="879">
        <f t="shared" si="0"/>
        <v>0</v>
      </c>
    </row>
    <row r="14" spans="1:7" ht="15.95" customHeight="1" x14ac:dyDescent="0.2">
      <c r="A14" s="1444" t="s">
        <v>1031</v>
      </c>
      <c r="B14" s="886">
        <v>2000000</v>
      </c>
      <c r="C14" s="875" t="s">
        <v>784</v>
      </c>
      <c r="D14" s="876"/>
      <c r="E14" s="876">
        <v>2000000</v>
      </c>
      <c r="F14" s="1305">
        <f t="shared" si="0"/>
        <v>0</v>
      </c>
    </row>
    <row r="15" spans="1:7" ht="25.5" x14ac:dyDescent="0.2">
      <c r="A15" s="1444" t="s">
        <v>798</v>
      </c>
      <c r="B15" s="886">
        <f>260000000-1400000</f>
        <v>258600000</v>
      </c>
      <c r="C15" s="875" t="s">
        <v>793</v>
      </c>
      <c r="D15" s="876">
        <f>168306402-1400000</f>
        <v>166906402</v>
      </c>
      <c r="E15" s="876">
        <v>91693598</v>
      </c>
      <c r="F15" s="880">
        <f t="shared" si="0"/>
        <v>0</v>
      </c>
    </row>
    <row r="16" spans="1:7" s="32" customFormat="1" ht="25.5" x14ac:dyDescent="0.2">
      <c r="A16" s="873" t="s">
        <v>799</v>
      </c>
      <c r="B16" s="878">
        <f>20000000+269240</f>
        <v>20269240</v>
      </c>
      <c r="C16" s="875" t="s">
        <v>793</v>
      </c>
      <c r="D16" s="876">
        <v>450000</v>
      </c>
      <c r="E16" s="876">
        <f>19550000+269240</f>
        <v>19819240</v>
      </c>
      <c r="F16" s="880">
        <f t="shared" si="0"/>
        <v>0</v>
      </c>
    </row>
    <row r="17" spans="1:6" ht="25.5" x14ac:dyDescent="0.2">
      <c r="A17" s="873" t="s">
        <v>800</v>
      </c>
      <c r="B17" s="878">
        <v>34941060</v>
      </c>
      <c r="C17" s="875" t="s">
        <v>793</v>
      </c>
      <c r="D17" s="876"/>
      <c r="E17" s="876">
        <v>34941060</v>
      </c>
      <c r="F17" s="880">
        <f t="shared" si="0"/>
        <v>0</v>
      </c>
    </row>
    <row r="18" spans="1:6" x14ac:dyDescent="0.2">
      <c r="A18" s="873" t="s">
        <v>911</v>
      </c>
      <c r="B18" s="878">
        <v>10000000</v>
      </c>
      <c r="C18" s="875" t="s">
        <v>784</v>
      </c>
      <c r="D18" s="876"/>
      <c r="E18" s="876">
        <v>10000000</v>
      </c>
      <c r="F18" s="880">
        <f t="shared" si="0"/>
        <v>0</v>
      </c>
    </row>
    <row r="19" spans="1:6" x14ac:dyDescent="0.2">
      <c r="A19" s="1445" t="s">
        <v>1034</v>
      </c>
      <c r="B19" s="1190">
        <v>46014821</v>
      </c>
      <c r="C19" s="1304" t="s">
        <v>807</v>
      </c>
      <c r="D19" s="1189"/>
      <c r="E19" s="1189">
        <v>46014821</v>
      </c>
      <c r="F19" s="1301">
        <f t="shared" ref="F19" si="1">B19-D19-E19</f>
        <v>0</v>
      </c>
    </row>
    <row r="20" spans="1:6" x14ac:dyDescent="0.2">
      <c r="A20" s="1437" t="s">
        <v>1044</v>
      </c>
      <c r="B20" s="1190">
        <v>216942416</v>
      </c>
      <c r="C20" s="1304" t="s">
        <v>807</v>
      </c>
      <c r="D20" s="1189"/>
      <c r="E20" s="1189">
        <v>216942416</v>
      </c>
      <c r="F20" s="1301">
        <f t="shared" ref="F20" si="2">B20-D20-E20</f>
        <v>0</v>
      </c>
    </row>
    <row r="21" spans="1:6" x14ac:dyDescent="0.2">
      <c r="A21" s="1490" t="s">
        <v>535</v>
      </c>
      <c r="B21" s="1491"/>
      <c r="C21" s="1491"/>
      <c r="D21" s="1491"/>
      <c r="E21" s="1491"/>
      <c r="F21" s="1492"/>
    </row>
    <row r="22" spans="1:6" s="779" customFormat="1" x14ac:dyDescent="0.2">
      <c r="A22" s="873" t="s">
        <v>856</v>
      </c>
      <c r="B22" s="878">
        <v>600000</v>
      </c>
      <c r="C22" s="875" t="s">
        <v>784</v>
      </c>
      <c r="D22" s="876"/>
      <c r="E22" s="876">
        <v>600000</v>
      </c>
      <c r="F22" s="880"/>
    </row>
    <row r="23" spans="1:6" x14ac:dyDescent="0.2">
      <c r="A23" s="1490" t="s">
        <v>0</v>
      </c>
      <c r="B23" s="1491"/>
      <c r="C23" s="1491"/>
      <c r="D23" s="1491"/>
      <c r="E23" s="1491"/>
      <c r="F23" s="1492"/>
    </row>
    <row r="24" spans="1:6" s="779" customFormat="1" x14ac:dyDescent="0.2">
      <c r="A24" s="873" t="s">
        <v>857</v>
      </c>
      <c r="B24" s="878">
        <v>1054700</v>
      </c>
      <c r="C24" s="875" t="s">
        <v>793</v>
      </c>
      <c r="D24" s="876">
        <v>344770</v>
      </c>
      <c r="E24" s="876">
        <f>B24-D24</f>
        <v>709930</v>
      </c>
      <c r="F24" s="880"/>
    </row>
    <row r="25" spans="1:6" ht="13.5" thickBot="1" x14ac:dyDescent="0.25">
      <c r="A25" s="881"/>
      <c r="B25" s="882"/>
      <c r="C25" s="883"/>
      <c r="D25" s="884"/>
      <c r="E25" s="884"/>
      <c r="F25" s="885"/>
    </row>
    <row r="26" spans="1:6" ht="13.5" thickBot="1" x14ac:dyDescent="0.25">
      <c r="A26" s="774" t="s">
        <v>66</v>
      </c>
      <c r="B26" s="775">
        <f>SUM(B8:B25)</f>
        <v>732273468</v>
      </c>
      <c r="C26" s="776"/>
      <c r="D26" s="775">
        <f>SUM(D8:D25)</f>
        <v>202546505</v>
      </c>
      <c r="E26" s="775">
        <f>SUM(E8:E25)</f>
        <v>529726963</v>
      </c>
      <c r="F26" s="777">
        <v>0</v>
      </c>
    </row>
    <row r="27" spans="1:6" x14ac:dyDescent="0.2">
      <c r="E27" s="783">
        <f>'1.1.sz.mell. '!C125</f>
        <v>529726963</v>
      </c>
    </row>
  </sheetData>
  <mergeCells count="5">
    <mergeCell ref="A1:F1"/>
    <mergeCell ref="A3:F3"/>
    <mergeCell ref="A7:F7"/>
    <mergeCell ref="A21:F21"/>
    <mergeCell ref="A23:F23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>
    <pageSetUpPr fitToPage="1"/>
  </sheetPr>
  <dimension ref="A1:H46"/>
  <sheetViews>
    <sheetView topLeftCell="A19"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1.1640625" style="1114" bestFit="1" customWidth="1"/>
    <col min="8" max="9" width="10.1640625" style="1114" bestFit="1" customWidth="1"/>
    <col min="10" max="16384" width="9.33203125" style="1114"/>
  </cols>
  <sheetData>
    <row r="1" spans="1:5" x14ac:dyDescent="0.2">
      <c r="A1" s="1493" t="str">
        <f>CONCATENATE("9. melléklet"," ",ALAPADATOK!A7," ",ALAPADATOK!B7," ",ALAPADATOK!C7," ",ALAPADATOK!D7," ",ALAPADATOK!E7," ",ALAPADATOK!F7," ",ALAPADATOK!G7," ",ALAPADATOK!H7)</f>
        <v>9. melléklet a  / 2020. ( 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94" t="s">
        <v>704</v>
      </c>
      <c r="B3" s="1494"/>
      <c r="C3" s="1494"/>
      <c r="D3" s="1494"/>
      <c r="E3" s="1494"/>
    </row>
    <row r="4" spans="1:5" ht="14.25" thickBot="1" x14ac:dyDescent="0.3">
      <c r="A4" s="1113"/>
      <c r="B4" s="1113"/>
      <c r="C4" s="111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/>
      <c r="C6" s="990">
        <v>174312</v>
      </c>
      <c r="D6" s="990"/>
      <c r="E6" s="991">
        <f>SUM(B6:D6)</f>
        <v>174312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f>15956160-159000</f>
        <v>15797160</v>
      </c>
      <c r="C8" s="996"/>
      <c r="D8" s="996"/>
      <c r="E8" s="997">
        <f t="shared" si="0"/>
        <v>15797160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996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B6+SUM(B8:B12)</f>
        <v>15797160</v>
      </c>
      <c r="C13" s="1000">
        <f>C6+SUM(C8:C12)</f>
        <v>174312</v>
      </c>
      <c r="D13" s="1000">
        <f>D6+SUM(D8:D12)</f>
        <v>0</v>
      </c>
      <c r="E13" s="988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610</v>
      </c>
      <c r="B15" s="1023" t="s">
        <v>875</v>
      </c>
      <c r="C15" s="1023">
        <v>2020</v>
      </c>
      <c r="D15" s="1023" t="s">
        <v>922</v>
      </c>
      <c r="E15" s="1024" t="s">
        <v>53</v>
      </c>
    </row>
    <row r="16" spans="1:5" x14ac:dyDescent="0.2">
      <c r="A16" s="989" t="s">
        <v>611</v>
      </c>
      <c r="B16" s="990"/>
      <c r="C16" s="990"/>
      <c r="D16" s="990"/>
      <c r="E16" s="991">
        <f>SUM(B16:D16)</f>
        <v>0</v>
      </c>
    </row>
    <row r="17" spans="1:5" x14ac:dyDescent="0.2">
      <c r="A17" s="1001" t="s">
        <v>612</v>
      </c>
      <c r="B17" s="996">
        <f>6978592+638160</f>
        <v>7616752</v>
      </c>
      <c r="C17" s="996">
        <f>5016896+174312-488</f>
        <v>5190720</v>
      </c>
      <c r="D17" s="996"/>
      <c r="E17" s="997">
        <f t="shared" ref="E17:E22" si="1">SUM(B17:D17)</f>
        <v>12807472</v>
      </c>
    </row>
    <row r="18" spans="1:5" x14ac:dyDescent="0.2">
      <c r="A18" s="995" t="s">
        <v>613</v>
      </c>
      <c r="B18" s="996"/>
      <c r="C18" s="996"/>
      <c r="D18" s="996"/>
      <c r="E18" s="997">
        <f t="shared" si="1"/>
        <v>0</v>
      </c>
    </row>
    <row r="19" spans="1:5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615</v>
      </c>
      <c r="B20" s="996"/>
      <c r="C20" s="996"/>
      <c r="D20" s="996"/>
      <c r="E20" s="997">
        <f t="shared" si="1"/>
        <v>0</v>
      </c>
    </row>
    <row r="21" spans="1:5" x14ac:dyDescent="0.2">
      <c r="A21" s="1002" t="s">
        <v>616</v>
      </c>
      <c r="B21" s="525"/>
      <c r="C21" s="996">
        <f>3163512+488</f>
        <v>3164000</v>
      </c>
      <c r="D21" s="996"/>
      <c r="E21" s="997">
        <f t="shared" si="1"/>
        <v>3164000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7616752</v>
      </c>
      <c r="C23" s="1026">
        <f>SUM(C16:C22)</f>
        <v>8354720</v>
      </c>
      <c r="D23" s="1026">
        <f>SUM(D16:D22)</f>
        <v>0</v>
      </c>
      <c r="E23" s="1027">
        <f>SUM(E16:E22)</f>
        <v>15971472</v>
      </c>
    </row>
    <row r="24" spans="1:5" x14ac:dyDescent="0.2">
      <c r="A24" s="1113"/>
      <c r="B24" s="1113"/>
      <c r="C24" s="1113"/>
      <c r="D24" s="1113"/>
      <c r="E24" s="1113"/>
    </row>
    <row r="25" spans="1:5" ht="34.5" customHeight="1" x14ac:dyDescent="0.25">
      <c r="A25" s="1494" t="s">
        <v>703</v>
      </c>
      <c r="B25" s="1494"/>
      <c r="C25" s="1494"/>
      <c r="D25" s="1494"/>
      <c r="E25" s="1494"/>
    </row>
    <row r="26" spans="1:5" ht="14.25" thickBot="1" x14ac:dyDescent="0.3">
      <c r="A26" s="1113"/>
      <c r="B26" s="1113"/>
      <c r="C26" s="1113"/>
      <c r="D26" s="1495" t="s">
        <v>563</v>
      </c>
      <c r="E26" s="1495"/>
    </row>
    <row r="27" spans="1:5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x14ac:dyDescent="0.2">
      <c r="A28" s="989" t="s">
        <v>604</v>
      </c>
      <c r="B28" s="990"/>
      <c r="C28" s="1152">
        <f>594360+100000</f>
        <v>694360</v>
      </c>
      <c r="D28" s="990"/>
      <c r="E28" s="991">
        <f>SUM(B28:D28)</f>
        <v>694360</v>
      </c>
    </row>
    <row r="29" spans="1:5" x14ac:dyDescent="0.2">
      <c r="A29" s="992" t="s">
        <v>605</v>
      </c>
      <c r="B29" s="993"/>
      <c r="C29" s="993"/>
      <c r="D29" s="993"/>
      <c r="E29" s="994"/>
    </row>
    <row r="30" spans="1:5" x14ac:dyDescent="0.2">
      <c r="A30" s="995" t="s">
        <v>606</v>
      </c>
      <c r="B30" s="996">
        <v>214128350</v>
      </c>
      <c r="C30" s="996"/>
      <c r="D30" s="996"/>
      <c r="E30" s="997">
        <v>214128350</v>
      </c>
    </row>
    <row r="31" spans="1:5" x14ac:dyDescent="0.2">
      <c r="A31" s="995" t="s">
        <v>607</v>
      </c>
      <c r="B31" s="996"/>
      <c r="C31" s="996"/>
      <c r="D31" s="996"/>
      <c r="E31" s="997"/>
    </row>
    <row r="32" spans="1:5" x14ac:dyDescent="0.2">
      <c r="A32" s="995" t="s">
        <v>123</v>
      </c>
      <c r="B32" s="996"/>
      <c r="C32" s="996"/>
      <c r="D32" s="996"/>
      <c r="E32" s="997"/>
    </row>
    <row r="33" spans="1:8" x14ac:dyDescent="0.2">
      <c r="A33" s="995" t="s">
        <v>608</v>
      </c>
      <c r="B33" s="996"/>
      <c r="C33" s="996"/>
      <c r="D33" s="996"/>
      <c r="E33" s="997"/>
    </row>
    <row r="34" spans="1:8" ht="13.5" thickBot="1" x14ac:dyDescent="0.25">
      <c r="A34" s="998"/>
      <c r="B34" s="999"/>
      <c r="C34" s="999"/>
      <c r="D34" s="999"/>
      <c r="E34" s="997"/>
    </row>
    <row r="35" spans="1:8" ht="13.5" thickBot="1" x14ac:dyDescent="0.25">
      <c r="A35" s="1025" t="s">
        <v>609</v>
      </c>
      <c r="B35" s="1000">
        <f>B28+SUM(B30:B34)</f>
        <v>214128350</v>
      </c>
      <c r="C35" s="1000">
        <f>C28+SUM(C30:C34)</f>
        <v>694360</v>
      </c>
      <c r="D35" s="1000">
        <f>D28+SUM(D30:D34)</f>
        <v>0</v>
      </c>
      <c r="E35" s="988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8" x14ac:dyDescent="0.2">
      <c r="A38" s="989" t="s">
        <v>611</v>
      </c>
      <c r="B38" s="990"/>
      <c r="C38" s="990"/>
      <c r="D38" s="990"/>
      <c r="E38" s="991">
        <f>SUM(B38:D38)</f>
        <v>0</v>
      </c>
    </row>
    <row r="39" spans="1:8" x14ac:dyDescent="0.2">
      <c r="A39" s="1001" t="s">
        <v>612</v>
      </c>
      <c r="B39" s="996">
        <f>92337150+8728696</f>
        <v>101065846</v>
      </c>
      <c r="C39" s="525">
        <f>70445718+594360</f>
        <v>71040078</v>
      </c>
      <c r="D39" s="996"/>
      <c r="E39" s="997">
        <f t="shared" ref="E39:E44" si="2">SUM(B39:D39)</f>
        <v>172105924</v>
      </c>
    </row>
    <row r="40" spans="1:8" x14ac:dyDescent="0.2">
      <c r="A40" s="995" t="s">
        <v>613</v>
      </c>
      <c r="B40" s="996">
        <v>15243810</v>
      </c>
      <c r="C40" s="525">
        <f>3769255+100000-288095</f>
        <v>3581160</v>
      </c>
      <c r="D40" s="996"/>
      <c r="E40" s="997">
        <f t="shared" si="2"/>
        <v>18824970</v>
      </c>
    </row>
    <row r="41" spans="1:8" x14ac:dyDescent="0.2">
      <c r="A41" s="995" t="s">
        <v>614</v>
      </c>
      <c r="B41" s="996">
        <v>539000</v>
      </c>
      <c r="C41" s="996"/>
      <c r="D41" s="996"/>
      <c r="E41" s="997">
        <f t="shared" si="2"/>
        <v>539000</v>
      </c>
    </row>
    <row r="42" spans="1:8" x14ac:dyDescent="0.2">
      <c r="A42" s="1002" t="s">
        <v>615</v>
      </c>
      <c r="B42" s="996"/>
      <c r="C42" s="996"/>
      <c r="D42" s="996"/>
      <c r="E42" s="997">
        <f t="shared" si="2"/>
        <v>0</v>
      </c>
    </row>
    <row r="43" spans="1:8" x14ac:dyDescent="0.2">
      <c r="A43" s="1002" t="s">
        <v>616</v>
      </c>
      <c r="B43" s="996">
        <v>15914000</v>
      </c>
      <c r="C43" s="996">
        <f>7150721+288095</f>
        <v>7438816</v>
      </c>
      <c r="D43" s="996"/>
      <c r="E43" s="997">
        <f t="shared" si="2"/>
        <v>23352816</v>
      </c>
    </row>
    <row r="44" spans="1:8" ht="13.5" thickBot="1" x14ac:dyDescent="0.25">
      <c r="A44" s="998"/>
      <c r="B44" s="999"/>
      <c r="C44" s="999"/>
      <c r="D44" s="999"/>
      <c r="E44" s="997">
        <f t="shared" si="2"/>
        <v>0</v>
      </c>
    </row>
    <row r="45" spans="1:8" ht="13.5" thickBot="1" x14ac:dyDescent="0.25">
      <c r="A45" s="1025" t="s">
        <v>54</v>
      </c>
      <c r="B45" s="1000">
        <f>SUM(B38:B44)</f>
        <v>132762656</v>
      </c>
      <c r="C45" s="1000">
        <f>SUM(C38:C44)</f>
        <v>82060054</v>
      </c>
      <c r="D45" s="1000">
        <f>SUM(D38:D44)</f>
        <v>0</v>
      </c>
      <c r="E45" s="988">
        <f>SUM(E38:E44)</f>
        <v>214822710</v>
      </c>
      <c r="G45" s="972"/>
      <c r="H45" s="972"/>
    </row>
    <row r="46" spans="1:8" x14ac:dyDescent="0.2">
      <c r="A46" s="1113"/>
      <c r="B46" s="1113"/>
      <c r="C46" s="1113"/>
      <c r="D46" s="1113"/>
      <c r="E46" s="971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3" priority="2" stopIfTrue="1" operator="equal">
      <formula>0</formula>
    </cfRule>
  </conditionalFormatting>
  <conditionalFormatting sqref="E28:E35 B35:D35 B45:E45 E38:E44 G45:H45">
    <cfRule type="cellIs" dxfId="1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6">
    <pageSetUpPr fitToPage="1"/>
  </sheetPr>
  <dimension ref="A1:I46"/>
  <sheetViews>
    <sheetView topLeftCell="A19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CONCATENATE("10. melléklet"," ",ALAPADATOK!A7," ",ALAPADATOK!B7," ",ALAPADATOK!C7," ",ALAPADATOK!D7," ",ALAPADATOK!E7," ",ALAPADATOK!F7," ",ALAPADATOK!G7," ",ALAPADATOK!H7)</f>
        <v>10. melléklet a  / 2020. ( 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7" customHeight="1" x14ac:dyDescent="0.25">
      <c r="A3" s="1494" t="s">
        <v>709</v>
      </c>
      <c r="B3" s="1494"/>
      <c r="C3" s="1494"/>
      <c r="D3" s="1494"/>
      <c r="E3" s="1494"/>
    </row>
    <row r="4" spans="1:5" ht="14.25" thickBot="1" x14ac:dyDescent="0.3">
      <c r="A4" s="1113"/>
      <c r="B4" s="1113"/>
      <c r="C4" s="111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>
        <v>2021904</v>
      </c>
      <c r="C6" s="990">
        <f>1000000+317500</f>
        <v>1317500</v>
      </c>
      <c r="D6" s="990"/>
      <c r="E6" s="991">
        <f>SUM(B6:D6)</f>
        <v>3339404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v>66360408</v>
      </c>
      <c r="C8" s="996">
        <v>72654520</v>
      </c>
      <c r="D8" s="996"/>
      <c r="E8" s="997">
        <f t="shared" si="0"/>
        <v>139014928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525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B6+SUM(B8:B12)</f>
        <v>68382312</v>
      </c>
      <c r="C13" s="1000">
        <f>C6+SUM(C8:C12)</f>
        <v>73972020</v>
      </c>
      <c r="D13" s="1000">
        <f>D6+SUM(D8:D12)</f>
        <v>0</v>
      </c>
      <c r="E13" s="988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611</v>
      </c>
      <c r="B16" s="990">
        <v>3104854</v>
      </c>
      <c r="C16" s="990">
        <v>4550402</v>
      </c>
      <c r="D16" s="990"/>
      <c r="E16" s="991">
        <f t="shared" ref="E16:E22" si="1">SUM(B16:D16)</f>
        <v>7655256</v>
      </c>
    </row>
    <row r="17" spans="1:9" x14ac:dyDescent="0.2">
      <c r="A17" s="1001" t="s">
        <v>612</v>
      </c>
      <c r="B17" s="996">
        <f>37347533-1206500</f>
        <v>36141033</v>
      </c>
      <c r="C17" s="996">
        <f>17650043+1000000+1206500+317500</f>
        <v>20174043</v>
      </c>
      <c r="D17" s="996"/>
      <c r="E17" s="997">
        <f t="shared" si="1"/>
        <v>56315076</v>
      </c>
    </row>
    <row r="18" spans="1:9" x14ac:dyDescent="0.2">
      <c r="A18" s="995" t="s">
        <v>613</v>
      </c>
      <c r="B18" s="996">
        <v>4388001</v>
      </c>
      <c r="C18" s="996">
        <v>4683999</v>
      </c>
      <c r="D18" s="996"/>
      <c r="E18" s="997">
        <f t="shared" si="1"/>
        <v>9072000</v>
      </c>
    </row>
    <row r="19" spans="1:9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9" x14ac:dyDescent="0.2">
      <c r="A20" s="1002" t="s">
        <v>615</v>
      </c>
      <c r="B20" s="996"/>
      <c r="C20" s="996"/>
      <c r="D20" s="996"/>
      <c r="E20" s="997">
        <f t="shared" si="1"/>
        <v>0</v>
      </c>
    </row>
    <row r="21" spans="1:9" x14ac:dyDescent="0.2">
      <c r="A21" s="1002" t="s">
        <v>616</v>
      </c>
      <c r="B21" s="525"/>
      <c r="C21" s="996"/>
      <c r="D21" s="996"/>
      <c r="E21" s="997">
        <f t="shared" si="1"/>
        <v>0</v>
      </c>
    </row>
    <row r="22" spans="1:9" ht="13.5" thickBot="1" x14ac:dyDescent="0.25">
      <c r="A22" s="998" t="s">
        <v>923</v>
      </c>
      <c r="B22" s="999">
        <v>4300000</v>
      </c>
      <c r="C22" s="999">
        <v>65012000</v>
      </c>
      <c r="D22" s="999"/>
      <c r="E22" s="997">
        <f t="shared" si="1"/>
        <v>69312000</v>
      </c>
    </row>
    <row r="23" spans="1:9" ht="13.5" thickBot="1" x14ac:dyDescent="0.25">
      <c r="A23" s="1025" t="s">
        <v>54</v>
      </c>
      <c r="B23" s="1026">
        <f>SUM(B16:B22)</f>
        <v>47933888</v>
      </c>
      <c r="C23" s="1026">
        <f>SUM(C16:C22)</f>
        <v>94420444</v>
      </c>
      <c r="D23" s="1026">
        <f>SUM(D16:D22)</f>
        <v>0</v>
      </c>
      <c r="E23" s="1027">
        <f>SUM(E16:E22)</f>
        <v>142354332</v>
      </c>
      <c r="G23" s="973"/>
      <c r="H23" s="973"/>
      <c r="I23" s="973"/>
    </row>
    <row r="24" spans="1:9" x14ac:dyDescent="0.2">
      <c r="A24" s="1113"/>
      <c r="B24" s="1113"/>
      <c r="C24" s="1113"/>
      <c r="D24" s="1113"/>
      <c r="E24" s="1113"/>
    </row>
    <row r="25" spans="1:9" ht="48.75" customHeight="1" x14ac:dyDescent="0.25">
      <c r="A25" s="1494" t="s">
        <v>873</v>
      </c>
      <c r="B25" s="1494"/>
      <c r="C25" s="1494"/>
      <c r="D25" s="1494"/>
      <c r="E25" s="1494"/>
    </row>
    <row r="26" spans="1:9" ht="14.25" thickBot="1" x14ac:dyDescent="0.3">
      <c r="A26" s="974"/>
      <c r="B26" s="974"/>
      <c r="C26" s="974"/>
      <c r="D26" s="1495" t="s">
        <v>563</v>
      </c>
      <c r="E26" s="1495"/>
    </row>
    <row r="27" spans="1:9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9" x14ac:dyDescent="0.2">
      <c r="A28" s="975" t="s">
        <v>604</v>
      </c>
      <c r="B28" s="976"/>
      <c r="C28" s="976"/>
      <c r="D28" s="976"/>
      <c r="E28" s="977">
        <f>B28+C28+D28</f>
        <v>0</v>
      </c>
    </row>
    <row r="29" spans="1:9" x14ac:dyDescent="0.2">
      <c r="A29" s="978" t="s">
        <v>605</v>
      </c>
      <c r="B29" s="979"/>
      <c r="C29" s="979"/>
      <c r="D29" s="979"/>
      <c r="E29" s="980">
        <f t="shared" ref="E29:E34" si="2">B29+C29+D29</f>
        <v>0</v>
      </c>
    </row>
    <row r="30" spans="1:9" x14ac:dyDescent="0.2">
      <c r="A30" s="981" t="s">
        <v>606</v>
      </c>
      <c r="B30" s="1034"/>
      <c r="C30" s="525">
        <f>35012760+12274550-15796260</f>
        <v>31491050</v>
      </c>
      <c r="D30" s="1034"/>
      <c r="E30" s="1035">
        <f t="shared" si="2"/>
        <v>31491050</v>
      </c>
    </row>
    <row r="31" spans="1:9" x14ac:dyDescent="0.2">
      <c r="A31" s="981" t="s">
        <v>607</v>
      </c>
      <c r="B31" s="1034"/>
      <c r="C31" s="1034"/>
      <c r="D31" s="1034"/>
      <c r="E31" s="1035">
        <f t="shared" si="2"/>
        <v>0</v>
      </c>
    </row>
    <row r="32" spans="1:9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608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609</v>
      </c>
      <c r="B35" s="1026">
        <f>B28+SUM(B30:B34)</f>
        <v>0</v>
      </c>
      <c r="C35" s="1026">
        <f>C28+SUM(C30:C34)</f>
        <v>31491050</v>
      </c>
      <c r="D35" s="1026">
        <f>D28+SUM(D30:D34)</f>
        <v>0</v>
      </c>
      <c r="E35" s="1027">
        <f>E28+SUM(E30:E34)</f>
        <v>31491050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75" t="s">
        <v>611</v>
      </c>
      <c r="B38" s="976"/>
      <c r="C38" s="1152">
        <f>5162073+813027-4704803-1270297</f>
        <v>0</v>
      </c>
      <c r="D38" s="976"/>
      <c r="E38" s="977">
        <f t="shared" ref="E38:E44" si="3">B38+C38+D38</f>
        <v>0</v>
      </c>
    </row>
    <row r="39" spans="1:5" x14ac:dyDescent="0.2">
      <c r="A39" s="984" t="s">
        <v>612</v>
      </c>
      <c r="B39" s="1034"/>
      <c r="C39" s="525">
        <f>4860000+1060000+3745000+2609550-1995000-538650</f>
        <v>9740900</v>
      </c>
      <c r="D39" s="1034"/>
      <c r="E39" s="1035">
        <f t="shared" si="3"/>
        <v>9740900</v>
      </c>
    </row>
    <row r="40" spans="1:5" x14ac:dyDescent="0.2">
      <c r="A40" s="981" t="s">
        <v>613</v>
      </c>
      <c r="B40" s="1034"/>
      <c r="C40" s="525">
        <f>22864299+6173361-2465446-4957064+135000</f>
        <v>21750150</v>
      </c>
      <c r="D40" s="1034"/>
      <c r="E40" s="1035">
        <f t="shared" si="3"/>
        <v>21750150</v>
      </c>
    </row>
    <row r="41" spans="1:5" x14ac:dyDescent="0.2">
      <c r="A41" s="981" t="s">
        <v>614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615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616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31491050</v>
      </c>
      <c r="D45" s="1026">
        <f>SUM(D38:D44)</f>
        <v>0</v>
      </c>
      <c r="E45" s="1027">
        <f>SUM(E38:E44)</f>
        <v>31491050</v>
      </c>
    </row>
    <row r="46" spans="1:5" x14ac:dyDescent="0.2">
      <c r="A46" s="1003"/>
      <c r="B46" s="1003"/>
      <c r="C46" s="1003"/>
      <c r="D46" s="1003"/>
      <c r="E46" s="1003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11" priority="2" stopIfTrue="1" operator="equal">
      <formula>0</formula>
    </cfRule>
  </conditionalFormatting>
  <conditionalFormatting sqref="E28:E35 B35:D35 B45:E45 E38:E44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17">
    <pageSetUpPr fitToPage="1"/>
  </sheetPr>
  <dimension ref="A1:G47"/>
  <sheetViews>
    <sheetView zoomScaleSheetLayoutView="115" workbookViewId="0">
      <selection activeCell="G15" sqref="G15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CONCATENATE("9. melléklet ",ALAPADATOK!A7," ",ALAPADATOK!B7," ",ALAPADATOK!C7," ",ALAPADATOK!D7," ",ALAPADATOK!E7," ",ALAPADATOK!F7," ",ALAPADATOK!G7," ",ALAPADATOK!H7)</f>
        <v>9. melléklet a  / 2020. ( 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96" t="s">
        <v>874</v>
      </c>
      <c r="B3" s="1496"/>
      <c r="C3" s="1496"/>
      <c r="D3" s="1496"/>
      <c r="E3" s="1496"/>
    </row>
    <row r="4" spans="1:5" ht="14.25" thickBot="1" x14ac:dyDescent="0.3">
      <c r="A4" s="1116"/>
      <c r="B4" s="1116"/>
      <c r="C4" s="1116"/>
      <c r="D4" s="1497" t="s">
        <v>563</v>
      </c>
      <c r="E4" s="1497"/>
    </row>
    <row r="5" spans="1:5" ht="15" customHeight="1" thickBot="1" x14ac:dyDescent="0.25">
      <c r="A5" s="1117" t="s">
        <v>603</v>
      </c>
      <c r="B5" s="1118" t="s">
        <v>875</v>
      </c>
      <c r="C5" s="1118" t="s">
        <v>812</v>
      </c>
      <c r="D5" s="1118" t="s">
        <v>876</v>
      </c>
      <c r="E5" s="1119" t="s">
        <v>53</v>
      </c>
    </row>
    <row r="6" spans="1:5" x14ac:dyDescent="0.2">
      <c r="A6" s="1120" t="s">
        <v>604</v>
      </c>
      <c r="B6" s="1121"/>
      <c r="C6" s="1121"/>
      <c r="D6" s="1121"/>
      <c r="E6" s="1122">
        <f>B6+C6+D6</f>
        <v>0</v>
      </c>
    </row>
    <row r="7" spans="1:5" x14ac:dyDescent="0.2">
      <c r="A7" s="1123" t="s">
        <v>605</v>
      </c>
      <c r="B7" s="1124"/>
      <c r="C7" s="1124"/>
      <c r="D7" s="1124"/>
      <c r="E7" s="1125">
        <f t="shared" ref="E7:E12" si="0">B7+C7+D7</f>
        <v>0</v>
      </c>
    </row>
    <row r="8" spans="1:5" x14ac:dyDescent="0.2">
      <c r="A8" s="1126" t="s">
        <v>606</v>
      </c>
      <c r="B8" s="1127"/>
      <c r="C8" s="1034">
        <f>69613780+5168705</f>
        <v>74782485</v>
      </c>
      <c r="D8" s="1127"/>
      <c r="E8" s="1129">
        <f t="shared" si="0"/>
        <v>74782485</v>
      </c>
    </row>
    <row r="9" spans="1:5" x14ac:dyDescent="0.2">
      <c r="A9" s="1126" t="s">
        <v>607</v>
      </c>
      <c r="B9" s="1127"/>
      <c r="C9" s="1127"/>
      <c r="D9" s="1127"/>
      <c r="E9" s="1129">
        <f t="shared" si="0"/>
        <v>0</v>
      </c>
    </row>
    <row r="10" spans="1:5" x14ac:dyDescent="0.2">
      <c r="A10" s="1126" t="s">
        <v>123</v>
      </c>
      <c r="B10" s="1127"/>
      <c r="C10" s="1127"/>
      <c r="D10" s="1127"/>
      <c r="E10" s="1129">
        <f t="shared" si="0"/>
        <v>0</v>
      </c>
    </row>
    <row r="11" spans="1:5" x14ac:dyDescent="0.2">
      <c r="A11" s="1126" t="s">
        <v>608</v>
      </c>
      <c r="B11" s="1127"/>
      <c r="C11" s="1127"/>
      <c r="D11" s="1127"/>
      <c r="E11" s="1129">
        <f t="shared" si="0"/>
        <v>0</v>
      </c>
    </row>
    <row r="12" spans="1:5" ht="13.5" thickBot="1" x14ac:dyDescent="0.25">
      <c r="A12" s="1130"/>
      <c r="B12" s="1131"/>
      <c r="C12" s="1131"/>
      <c r="D12" s="1131"/>
      <c r="E12" s="1129">
        <f t="shared" si="0"/>
        <v>0</v>
      </c>
    </row>
    <row r="13" spans="1:5" ht="13.5" thickBot="1" x14ac:dyDescent="0.25">
      <c r="A13" s="1132" t="s">
        <v>609</v>
      </c>
      <c r="B13" s="1133">
        <f>B6+SUM(B8:B12)</f>
        <v>0</v>
      </c>
      <c r="C13" s="1133">
        <f>C6+SUM(C8:C12)</f>
        <v>74782485</v>
      </c>
      <c r="D13" s="1133">
        <f>D6+SUM(D8:D12)</f>
        <v>0</v>
      </c>
      <c r="E13" s="1134">
        <f>E6+SUM(E8:E12)</f>
        <v>74782485</v>
      </c>
    </row>
    <row r="14" spans="1:5" ht="13.5" thickBot="1" x14ac:dyDescent="0.25">
      <c r="A14" s="1135"/>
      <c r="B14" s="1135"/>
      <c r="C14" s="1135"/>
      <c r="D14" s="1135"/>
      <c r="E14" s="1135"/>
    </row>
    <row r="15" spans="1:5" ht="15" customHeight="1" thickBot="1" x14ac:dyDescent="0.25">
      <c r="A15" s="1117" t="s">
        <v>610</v>
      </c>
      <c r="B15" s="1118" t="s">
        <v>875</v>
      </c>
      <c r="C15" s="1118" t="s">
        <v>812</v>
      </c>
      <c r="D15" s="1118" t="s">
        <v>876</v>
      </c>
      <c r="E15" s="1119" t="s">
        <v>53</v>
      </c>
    </row>
    <row r="16" spans="1:5" x14ac:dyDescent="0.2">
      <c r="A16" s="1120" t="s">
        <v>611</v>
      </c>
      <c r="B16" s="1121"/>
      <c r="C16" s="976">
        <f>49880000+13467600+1657506-750921</f>
        <v>64254185</v>
      </c>
      <c r="D16" s="1121"/>
      <c r="E16" s="1122">
        <f t="shared" ref="E16:E22" si="1">B16+C16+D16</f>
        <v>64254185</v>
      </c>
    </row>
    <row r="17" spans="1:5" x14ac:dyDescent="0.2">
      <c r="A17" s="1137" t="s">
        <v>612</v>
      </c>
      <c r="B17" s="1127"/>
      <c r="C17" s="1034">
        <f>1092200+101600</f>
        <v>1193800</v>
      </c>
      <c r="D17" s="1127"/>
      <c r="E17" s="1129">
        <f t="shared" si="1"/>
        <v>1193800</v>
      </c>
    </row>
    <row r="18" spans="1:5" x14ac:dyDescent="0.2">
      <c r="A18" s="1126" t="s">
        <v>613</v>
      </c>
      <c r="B18" s="1127"/>
      <c r="C18" s="1034">
        <f>5173980+4160520</f>
        <v>9334500</v>
      </c>
      <c r="D18" s="1127"/>
      <c r="E18" s="1129">
        <f t="shared" si="1"/>
        <v>9334500</v>
      </c>
    </row>
    <row r="19" spans="1:5" x14ac:dyDescent="0.2">
      <c r="A19" s="1126" t="s">
        <v>614</v>
      </c>
      <c r="B19" s="1127"/>
      <c r="C19" s="1127"/>
      <c r="D19" s="1127"/>
      <c r="E19" s="1129">
        <f t="shared" si="1"/>
        <v>0</v>
      </c>
    </row>
    <row r="20" spans="1:5" x14ac:dyDescent="0.2">
      <c r="A20" s="1138" t="s">
        <v>615</v>
      </c>
      <c r="B20" s="1127"/>
      <c r="C20" s="1127"/>
      <c r="D20" s="1127"/>
      <c r="E20" s="1129">
        <f t="shared" si="1"/>
        <v>0</v>
      </c>
    </row>
    <row r="21" spans="1:5" x14ac:dyDescent="0.2">
      <c r="A21" s="1138" t="s">
        <v>616</v>
      </c>
      <c r="B21" s="1127"/>
      <c r="C21" s="1127"/>
      <c r="D21" s="1127"/>
      <c r="E21" s="1129">
        <f t="shared" si="1"/>
        <v>0</v>
      </c>
    </row>
    <row r="22" spans="1:5" ht="13.5" thickBot="1" x14ac:dyDescent="0.25">
      <c r="A22" s="1130"/>
      <c r="B22" s="1131"/>
      <c r="C22" s="1131"/>
      <c r="D22" s="1131"/>
      <c r="E22" s="1129">
        <f t="shared" si="1"/>
        <v>0</v>
      </c>
    </row>
    <row r="23" spans="1:5" ht="13.5" thickBot="1" x14ac:dyDescent="0.25">
      <c r="A23" s="1132" t="s">
        <v>54</v>
      </c>
      <c r="B23" s="1133">
        <f>SUM(B16:B22)</f>
        <v>0</v>
      </c>
      <c r="C23" s="1133">
        <f>SUM(C16:C22)</f>
        <v>74782485</v>
      </c>
      <c r="D23" s="1133">
        <f>SUM(D16:D22)</f>
        <v>0</v>
      </c>
      <c r="E23" s="1134">
        <f>SUM(E16:E22)</f>
        <v>74782485</v>
      </c>
    </row>
    <row r="24" spans="1:5" x14ac:dyDescent="0.2">
      <c r="A24" s="1113"/>
      <c r="B24" s="1113"/>
      <c r="C24" s="1113"/>
      <c r="D24" s="1113"/>
      <c r="E24" s="1113"/>
    </row>
    <row r="25" spans="1:5" ht="69" customHeight="1" x14ac:dyDescent="0.25">
      <c r="A25" s="1494" t="s">
        <v>924</v>
      </c>
      <c r="B25" s="1494"/>
      <c r="C25" s="1494"/>
      <c r="D25" s="1494"/>
      <c r="E25" s="1494"/>
    </row>
    <row r="26" spans="1:5" s="836" customFormat="1" ht="14.25" thickBot="1" x14ac:dyDescent="0.3">
      <c r="A26" s="1003"/>
      <c r="B26" s="1003"/>
      <c r="C26" s="1003"/>
      <c r="D26" s="1495" t="s">
        <v>563</v>
      </c>
      <c r="E26" s="1495"/>
    </row>
    <row r="27" spans="1:5" s="836" customFormat="1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s="836" customFormat="1" x14ac:dyDescent="0.2">
      <c r="A28" s="989" t="s">
        <v>604</v>
      </c>
      <c r="B28" s="990"/>
      <c r="C28" s="990"/>
      <c r="D28" s="990"/>
      <c r="E28" s="991">
        <f>SUM(B28:D28)</f>
        <v>0</v>
      </c>
    </row>
    <row r="29" spans="1:5" s="836" customFormat="1" x14ac:dyDescent="0.2">
      <c r="A29" s="992" t="s">
        <v>605</v>
      </c>
      <c r="B29" s="993"/>
      <c r="C29" s="993"/>
      <c r="D29" s="993"/>
      <c r="E29" s="994">
        <f t="shared" ref="E29:E34" si="2">SUM(B29:D29)</f>
        <v>0</v>
      </c>
    </row>
    <row r="30" spans="1:5" s="836" customFormat="1" x14ac:dyDescent="0.2">
      <c r="A30" s="995" t="s">
        <v>606</v>
      </c>
      <c r="B30" s="996">
        <v>85000000</v>
      </c>
      <c r="C30" s="996"/>
      <c r="D30" s="996"/>
      <c r="E30" s="997">
        <f t="shared" si="2"/>
        <v>85000000</v>
      </c>
    </row>
    <row r="31" spans="1:5" s="836" customFormat="1" x14ac:dyDescent="0.2">
      <c r="A31" s="995" t="s">
        <v>607</v>
      </c>
      <c r="B31" s="996"/>
      <c r="C31" s="996"/>
      <c r="D31" s="996"/>
      <c r="E31" s="997">
        <f t="shared" si="2"/>
        <v>0</v>
      </c>
    </row>
    <row r="32" spans="1:5" s="836" customFormat="1" x14ac:dyDescent="0.2">
      <c r="A32" s="995" t="s">
        <v>123</v>
      </c>
      <c r="B32" s="996"/>
      <c r="C32" s="996"/>
      <c r="D32" s="996"/>
      <c r="E32" s="997">
        <f t="shared" si="2"/>
        <v>0</v>
      </c>
    </row>
    <row r="33" spans="1:7" s="836" customFormat="1" x14ac:dyDescent="0.2">
      <c r="A33" s="995" t="s">
        <v>608</v>
      </c>
      <c r="B33" s="996"/>
      <c r="C33" s="996">
        <v>717804</v>
      </c>
      <c r="D33" s="996"/>
      <c r="E33" s="997">
        <f t="shared" si="2"/>
        <v>717804</v>
      </c>
    </row>
    <row r="34" spans="1:7" s="836" customFormat="1" ht="13.5" thickBot="1" x14ac:dyDescent="0.25">
      <c r="A34" s="998"/>
      <c r="B34" s="999"/>
      <c r="C34" s="999"/>
      <c r="D34" s="999"/>
      <c r="E34" s="997">
        <f t="shared" si="2"/>
        <v>0</v>
      </c>
    </row>
    <row r="35" spans="1:7" s="836" customFormat="1" ht="13.5" thickBot="1" x14ac:dyDescent="0.25">
      <c r="A35" s="1025" t="s">
        <v>609</v>
      </c>
      <c r="B35" s="1000">
        <f>SUM(B28:B34)</f>
        <v>85000000</v>
      </c>
      <c r="C35" s="1000">
        <f>SUM(C28:C34)</f>
        <v>717804</v>
      </c>
      <c r="D35" s="1000">
        <f>SUM(D28:D34)</f>
        <v>0</v>
      </c>
      <c r="E35" s="988">
        <f>SUM(E28:E34)</f>
        <v>85717804</v>
      </c>
    </row>
    <row r="36" spans="1:7" s="836" customFormat="1" ht="13.5" thickBot="1" x14ac:dyDescent="0.25">
      <c r="A36" s="1004"/>
      <c r="B36" s="1004"/>
      <c r="C36" s="1004"/>
      <c r="D36" s="1004"/>
      <c r="E36" s="1004"/>
    </row>
    <row r="37" spans="1:7" s="836" customFormat="1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7" s="836" customFormat="1" x14ac:dyDescent="0.2">
      <c r="A38" s="989" t="s">
        <v>611</v>
      </c>
      <c r="B38" s="990"/>
      <c r="C38" s="990"/>
      <c r="D38" s="990"/>
      <c r="E38" s="991">
        <f t="shared" ref="E38:E44" si="3">SUM(B38:D38)</f>
        <v>0</v>
      </c>
    </row>
    <row r="39" spans="1:7" s="836" customFormat="1" x14ac:dyDescent="0.2">
      <c r="A39" s="1001" t="s">
        <v>612</v>
      </c>
      <c r="B39" s="996">
        <f>13633247+2772427</f>
        <v>16405674</v>
      </c>
      <c r="C39" s="996">
        <v>64843016</v>
      </c>
      <c r="D39" s="996"/>
      <c r="E39" s="997">
        <f t="shared" si="3"/>
        <v>81248690</v>
      </c>
    </row>
    <row r="40" spans="1:7" s="836" customFormat="1" x14ac:dyDescent="0.2">
      <c r="A40" s="995" t="s">
        <v>613</v>
      </c>
      <c r="B40" s="996">
        <f>567020+835000-100000</f>
        <v>1302020</v>
      </c>
      <c r="C40" s="525">
        <f>524290+717804+300000</f>
        <v>1542094</v>
      </c>
      <c r="D40" s="996"/>
      <c r="E40" s="997">
        <f>SUM(B40:D40)</f>
        <v>2844114</v>
      </c>
    </row>
    <row r="41" spans="1:7" s="836" customFormat="1" x14ac:dyDescent="0.2">
      <c r="A41" s="995" t="s">
        <v>614</v>
      </c>
      <c r="B41" s="996">
        <f>100000</f>
        <v>100000</v>
      </c>
      <c r="C41" s="996"/>
      <c r="D41" s="996"/>
      <c r="E41" s="997">
        <f t="shared" si="3"/>
        <v>100000</v>
      </c>
    </row>
    <row r="42" spans="1:7" s="836" customFormat="1" x14ac:dyDescent="0.2">
      <c r="A42" s="1002" t="s">
        <v>615</v>
      </c>
      <c r="B42" s="996"/>
      <c r="C42" s="525">
        <f>1825000-300000</f>
        <v>1525000</v>
      </c>
      <c r="D42" s="996"/>
      <c r="E42" s="997">
        <f t="shared" si="3"/>
        <v>1525000</v>
      </c>
    </row>
    <row r="43" spans="1:7" s="836" customFormat="1" x14ac:dyDescent="0.2">
      <c r="A43" s="1002" t="s">
        <v>616</v>
      </c>
      <c r="B43" s="996"/>
      <c r="C43" s="996"/>
      <c r="D43" s="996"/>
      <c r="E43" s="997">
        <f t="shared" si="3"/>
        <v>0</v>
      </c>
    </row>
    <row r="44" spans="1:7" s="836" customFormat="1" ht="13.5" thickBot="1" x14ac:dyDescent="0.25">
      <c r="A44" s="998"/>
      <c r="B44" s="999"/>
      <c r="C44" s="999"/>
      <c r="D44" s="999"/>
      <c r="E44" s="997">
        <f t="shared" si="3"/>
        <v>0</v>
      </c>
    </row>
    <row r="45" spans="1:7" s="836" customFormat="1" ht="13.5" thickBot="1" x14ac:dyDescent="0.25">
      <c r="A45" s="1025" t="s">
        <v>54</v>
      </c>
      <c r="B45" s="1000">
        <f>SUM(B38:B44)</f>
        <v>17807694</v>
      </c>
      <c r="C45" s="1000">
        <f>SUM(C38:C44)</f>
        <v>67910110</v>
      </c>
      <c r="D45" s="1000">
        <f>SUM(D38:D44)</f>
        <v>0</v>
      </c>
      <c r="E45" s="988">
        <f>SUM(E38:E44)</f>
        <v>85717804</v>
      </c>
      <c r="G45" s="987">
        <f>E35-C45-B45</f>
        <v>0</v>
      </c>
    </row>
    <row r="46" spans="1:7" x14ac:dyDescent="0.2">
      <c r="A46" s="1113"/>
      <c r="B46" s="1113"/>
      <c r="C46" s="1113"/>
      <c r="D46" s="1113"/>
      <c r="E46" s="1113"/>
    </row>
    <row r="47" spans="1:7" x14ac:dyDescent="0.2">
      <c r="A47" s="83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9" priority="2" stopIfTrue="1" operator="equal">
      <formula>0</formula>
    </cfRule>
  </conditionalFormatting>
  <conditionalFormatting sqref="E6:E13 B13:D13 B23:E23 E16:E22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18">
    <pageSetUpPr fitToPage="1"/>
  </sheetPr>
  <dimension ref="A1:E46"/>
  <sheetViews>
    <sheetView topLeftCell="A16" zoomScaleSheetLayoutView="85" workbookViewId="0">
      <selection activeCell="I26" sqref="I26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74.25" customHeight="1" x14ac:dyDescent="0.25">
      <c r="A3" s="1494" t="s">
        <v>925</v>
      </c>
      <c r="B3" s="1494"/>
      <c r="C3" s="1494"/>
      <c r="D3" s="1494"/>
      <c r="E3" s="1494"/>
    </row>
    <row r="4" spans="1:5" ht="14.25" thickBot="1" x14ac:dyDescent="0.3">
      <c r="A4" s="1003"/>
      <c r="B4" s="1003"/>
      <c r="C4" s="100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/>
      <c r="C6" s="990"/>
      <c r="D6" s="990"/>
      <c r="E6" s="991">
        <f>SUM(B6:D6)</f>
        <v>0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v>363618656</v>
      </c>
      <c r="C8" s="996">
        <v>6350000</v>
      </c>
      <c r="D8" s="996"/>
      <c r="E8" s="997">
        <f t="shared" si="0"/>
        <v>369968656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103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525">
        <v>243600</v>
      </c>
      <c r="D11" s="996"/>
      <c r="E11" s="997">
        <f t="shared" si="0"/>
        <v>243600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SUM(B6:B12)</f>
        <v>363618656</v>
      </c>
      <c r="C13" s="1000">
        <f>SUM(C6:C12)</f>
        <v>6593600</v>
      </c>
      <c r="D13" s="1000">
        <f>SUM(D6:D12)</f>
        <v>0</v>
      </c>
      <c r="E13" s="988">
        <f>SUM(E6:E12)</f>
        <v>370212256</v>
      </c>
    </row>
    <row r="14" spans="1:5" ht="13.5" thickBot="1" x14ac:dyDescent="0.25">
      <c r="A14" s="1004"/>
      <c r="B14" s="1004"/>
      <c r="C14" s="1004"/>
      <c r="D14" s="1004"/>
      <c r="E14" s="1004"/>
    </row>
    <row r="15" spans="1:5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611</v>
      </c>
      <c r="B16" s="990"/>
      <c r="C16" s="990">
        <v>0</v>
      </c>
      <c r="D16" s="990"/>
      <c r="E16" s="991">
        <f t="shared" ref="E16:E22" si="1">SUM(B16:D16)</f>
        <v>0</v>
      </c>
    </row>
    <row r="17" spans="1:5" x14ac:dyDescent="0.2">
      <c r="A17" s="1001" t="s">
        <v>612</v>
      </c>
      <c r="B17" s="996">
        <f>480000+129600+2032000</f>
        <v>2641600</v>
      </c>
      <c r="C17" s="996">
        <v>345164792</v>
      </c>
      <c r="D17" s="996"/>
      <c r="E17" s="997">
        <f>SUM(B17:D17)</f>
        <v>347806392</v>
      </c>
    </row>
    <row r="18" spans="1:5" x14ac:dyDescent="0.2">
      <c r="A18" s="995" t="s">
        <v>613</v>
      </c>
      <c r="B18" s="996">
        <f>1416000+382320+914400</f>
        <v>2712720</v>
      </c>
      <c r="C18" s="525">
        <f>13099544+243600</f>
        <v>13343144</v>
      </c>
      <c r="D18" s="996"/>
      <c r="E18" s="997">
        <f t="shared" si="1"/>
        <v>16055864</v>
      </c>
    </row>
    <row r="19" spans="1:5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615</v>
      </c>
      <c r="B20" s="996"/>
      <c r="C20" s="996">
        <v>6350000</v>
      </c>
      <c r="D20" s="996"/>
      <c r="E20" s="997">
        <f t="shared" si="1"/>
        <v>6350000</v>
      </c>
    </row>
    <row r="21" spans="1:5" x14ac:dyDescent="0.2">
      <c r="A21" s="1002" t="s">
        <v>616</v>
      </c>
      <c r="B21" s="1034"/>
      <c r="C21" s="996"/>
      <c r="D21" s="996"/>
      <c r="E21" s="997">
        <f t="shared" si="1"/>
        <v>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5354320</v>
      </c>
      <c r="C23" s="1026">
        <f>SUM(C16:C22)</f>
        <v>364857936</v>
      </c>
      <c r="D23" s="1026">
        <f>SUM(D16:D22)</f>
        <v>0</v>
      </c>
      <c r="E23" s="1027">
        <f>SUM(E16:E22)</f>
        <v>370212256</v>
      </c>
    </row>
    <row r="24" spans="1:5" x14ac:dyDescent="0.2">
      <c r="A24" s="1113"/>
      <c r="B24" s="1113"/>
      <c r="C24" s="1113"/>
      <c r="D24" s="1113"/>
      <c r="E24" s="1113"/>
    </row>
    <row r="25" spans="1:5" ht="48.75" customHeight="1" x14ac:dyDescent="0.25">
      <c r="A25" s="1494" t="s">
        <v>926</v>
      </c>
      <c r="B25" s="1494"/>
      <c r="C25" s="1494"/>
      <c r="D25" s="1494"/>
      <c r="E25" s="1494"/>
    </row>
    <row r="26" spans="1:5" ht="14.25" thickBot="1" x14ac:dyDescent="0.3">
      <c r="A26" s="1003"/>
      <c r="B26" s="1003"/>
      <c r="C26" s="1003"/>
      <c r="D26" s="1495" t="s">
        <v>563</v>
      </c>
      <c r="E26" s="1495"/>
    </row>
    <row r="27" spans="1:5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x14ac:dyDescent="0.2">
      <c r="A28" s="989" t="s">
        <v>604</v>
      </c>
      <c r="B28" s="990"/>
      <c r="C28" s="990"/>
      <c r="D28" s="990"/>
      <c r="E28" s="991">
        <v>0</v>
      </c>
    </row>
    <row r="29" spans="1:5" x14ac:dyDescent="0.2">
      <c r="A29" s="992" t="s">
        <v>605</v>
      </c>
      <c r="B29" s="993"/>
      <c r="C29" s="993"/>
      <c r="D29" s="993"/>
      <c r="E29" s="994">
        <v>0</v>
      </c>
    </row>
    <row r="30" spans="1:5" x14ac:dyDescent="0.2">
      <c r="A30" s="995" t="s">
        <v>606</v>
      </c>
      <c r="B30" s="996"/>
      <c r="C30" s="996">
        <v>19027694</v>
      </c>
      <c r="D30" s="996"/>
      <c r="E30" s="997">
        <v>19027694</v>
      </c>
    </row>
    <row r="31" spans="1:5" x14ac:dyDescent="0.2">
      <c r="A31" s="995" t="s">
        <v>607</v>
      </c>
      <c r="B31" s="996"/>
      <c r="C31" s="996"/>
      <c r="D31" s="996"/>
      <c r="E31" s="997">
        <v>0</v>
      </c>
    </row>
    <row r="32" spans="1:5" x14ac:dyDescent="0.2">
      <c r="A32" s="995" t="s">
        <v>123</v>
      </c>
      <c r="B32" s="1034"/>
      <c r="C32" s="996"/>
      <c r="D32" s="996"/>
      <c r="E32" s="997">
        <v>0</v>
      </c>
    </row>
    <row r="33" spans="1:5" x14ac:dyDescent="0.2">
      <c r="A33" s="995" t="s">
        <v>608</v>
      </c>
      <c r="B33" s="996"/>
      <c r="C33" s="1034"/>
      <c r="D33" s="1034"/>
      <c r="E33" s="1035">
        <v>0</v>
      </c>
    </row>
    <row r="34" spans="1:5" ht="13.5" thickBot="1" x14ac:dyDescent="0.25">
      <c r="A34" s="998"/>
      <c r="B34" s="999"/>
      <c r="C34" s="1036"/>
      <c r="D34" s="1036"/>
      <c r="E34" s="1035">
        <v>0</v>
      </c>
    </row>
    <row r="35" spans="1:5" ht="13.5" thickBot="1" x14ac:dyDescent="0.25">
      <c r="A35" s="1025" t="s">
        <v>609</v>
      </c>
      <c r="B35" s="1000">
        <v>0</v>
      </c>
      <c r="C35" s="1026">
        <v>19027694</v>
      </c>
      <c r="D35" s="1026">
        <v>0</v>
      </c>
      <c r="E35" s="1027">
        <v>19027694</v>
      </c>
    </row>
    <row r="36" spans="1:5" ht="13.5" thickBot="1" x14ac:dyDescent="0.25">
      <c r="A36" s="1004"/>
      <c r="B36" s="1004"/>
      <c r="C36" s="1004"/>
      <c r="D36" s="1004"/>
      <c r="E36" s="1004"/>
    </row>
    <row r="37" spans="1:5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89" t="s">
        <v>611</v>
      </c>
      <c r="B38" s="990"/>
      <c r="C38" s="990">
        <v>470200</v>
      </c>
      <c r="D38" s="990"/>
      <c r="E38" s="991">
        <v>470200</v>
      </c>
    </row>
    <row r="39" spans="1:5" x14ac:dyDescent="0.2">
      <c r="A39" s="1001" t="s">
        <v>612</v>
      </c>
      <c r="B39" s="996"/>
      <c r="C39" s="996">
        <v>2634996</v>
      </c>
      <c r="D39" s="996"/>
      <c r="E39" s="997">
        <v>2634996</v>
      </c>
    </row>
    <row r="40" spans="1:5" x14ac:dyDescent="0.2">
      <c r="A40" s="995" t="s">
        <v>613</v>
      </c>
      <c r="B40" s="996"/>
      <c r="C40" s="996">
        <v>15922498</v>
      </c>
      <c r="D40" s="996"/>
      <c r="E40" s="997">
        <v>15922498</v>
      </c>
    </row>
    <row r="41" spans="1:5" x14ac:dyDescent="0.2">
      <c r="A41" s="995" t="s">
        <v>614</v>
      </c>
      <c r="B41" s="996"/>
      <c r="C41" s="996"/>
      <c r="D41" s="996"/>
      <c r="E41" s="997">
        <v>0</v>
      </c>
    </row>
    <row r="42" spans="1:5" x14ac:dyDescent="0.2">
      <c r="A42" s="1002" t="s">
        <v>615</v>
      </c>
      <c r="B42" s="996"/>
      <c r="C42" s="996"/>
      <c r="D42" s="996"/>
      <c r="E42" s="997">
        <v>0</v>
      </c>
    </row>
    <row r="43" spans="1:5" x14ac:dyDescent="0.2">
      <c r="A43" s="1002" t="s">
        <v>616</v>
      </c>
      <c r="B43" s="1034"/>
      <c r="C43" s="996"/>
      <c r="D43" s="996"/>
      <c r="E43" s="997">
        <v>0</v>
      </c>
    </row>
    <row r="44" spans="1:5" ht="13.5" thickBot="1" x14ac:dyDescent="0.25">
      <c r="A44" s="998"/>
      <c r="B44" s="999"/>
      <c r="C44" s="999"/>
      <c r="D44" s="999"/>
      <c r="E44" s="997">
        <v>0</v>
      </c>
    </row>
    <row r="45" spans="1:5" ht="13.5" thickBot="1" x14ac:dyDescent="0.25">
      <c r="A45" s="1025" t="s">
        <v>54</v>
      </c>
      <c r="B45" s="1026">
        <v>0</v>
      </c>
      <c r="C45" s="1026">
        <v>19027694</v>
      </c>
      <c r="D45" s="1026">
        <v>0</v>
      </c>
      <c r="E45" s="1027">
        <v>19027694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7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>
    <pageSetUpPr fitToPage="1"/>
  </sheetPr>
  <dimension ref="A1:F46"/>
  <sheetViews>
    <sheetView zoomScaleSheetLayoutView="85" workbookViewId="0">
      <selection activeCell="G17" sqref="G17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CONCATENATE("10. melléklet ",ALAPADATOK!A7," ",ALAPADATOK!B7," ",ALAPADATOK!C7," ",ALAPADATOK!D7," ",ALAPADATOK!E7," ",ALAPADATOK!F7," ",ALAPADATOK!G7," ",ALAPADATOK!H7)</f>
        <v>10. melléklet a  / 2020. ( 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94" t="s">
        <v>927</v>
      </c>
      <c r="B3" s="1494"/>
      <c r="C3" s="1494"/>
      <c r="D3" s="1494"/>
      <c r="E3" s="1494"/>
      <c r="F3" s="1115"/>
    </row>
    <row r="4" spans="1:6" ht="14.25" thickBot="1" x14ac:dyDescent="0.3">
      <c r="A4" s="974"/>
      <c r="B4" s="974"/>
      <c r="C4" s="974"/>
      <c r="D4" s="1495" t="s">
        <v>563</v>
      </c>
      <c r="E4" s="1495"/>
      <c r="F4" s="1115"/>
    </row>
    <row r="5" spans="1:6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  <c r="F5" s="1115"/>
    </row>
    <row r="6" spans="1:6" x14ac:dyDescent="0.2">
      <c r="A6" s="975" t="s">
        <v>604</v>
      </c>
      <c r="B6" s="976"/>
      <c r="C6" s="976"/>
      <c r="D6" s="976"/>
      <c r="E6" s="977">
        <f>SUM(B6:D6)</f>
        <v>0</v>
      </c>
      <c r="F6" s="1115"/>
    </row>
    <row r="7" spans="1:6" x14ac:dyDescent="0.2">
      <c r="A7" s="978" t="s">
        <v>605</v>
      </c>
      <c r="B7" s="979"/>
      <c r="C7" s="979"/>
      <c r="D7" s="979"/>
      <c r="E7" s="980">
        <f t="shared" ref="E7:E13" si="0">SUM(B7:D7)</f>
        <v>0</v>
      </c>
      <c r="F7" s="1115"/>
    </row>
    <row r="8" spans="1:6" x14ac:dyDescent="0.2">
      <c r="A8" s="981" t="s">
        <v>606</v>
      </c>
      <c r="B8" s="1034">
        <v>168611550</v>
      </c>
      <c r="C8" s="1034">
        <v>6985000</v>
      </c>
      <c r="D8" s="1034"/>
      <c r="E8" s="1035">
        <f t="shared" si="0"/>
        <v>175596550</v>
      </c>
      <c r="F8" s="1115"/>
    </row>
    <row r="9" spans="1:6" x14ac:dyDescent="0.2">
      <c r="A9" s="981" t="s">
        <v>607</v>
      </c>
      <c r="B9" s="1034"/>
      <c r="C9" s="1034"/>
      <c r="D9" s="1034"/>
      <c r="E9" s="1035">
        <f t="shared" si="0"/>
        <v>0</v>
      </c>
      <c r="F9" s="1115"/>
    </row>
    <row r="10" spans="1:6" x14ac:dyDescent="0.2">
      <c r="A10" s="981" t="s">
        <v>123</v>
      </c>
      <c r="B10" s="1034"/>
      <c r="C10" s="1034"/>
      <c r="D10" s="1034"/>
      <c r="E10" s="1035">
        <f t="shared" si="0"/>
        <v>0</v>
      </c>
      <c r="F10" s="1115"/>
    </row>
    <row r="11" spans="1:6" x14ac:dyDescent="0.2">
      <c r="A11" s="981" t="s">
        <v>608</v>
      </c>
      <c r="B11" s="1034"/>
      <c r="C11" s="1034"/>
      <c r="D11" s="1034"/>
      <c r="E11" s="1035">
        <f t="shared" si="0"/>
        <v>0</v>
      </c>
      <c r="F11" s="1115"/>
    </row>
    <row r="12" spans="1:6" ht="13.5" thickBot="1" x14ac:dyDescent="0.25">
      <c r="A12" s="982"/>
      <c r="B12" s="1036"/>
      <c r="C12" s="1036"/>
      <c r="D12" s="1036"/>
      <c r="E12" s="1035">
        <f t="shared" si="0"/>
        <v>0</v>
      </c>
      <c r="F12" s="1115"/>
    </row>
    <row r="13" spans="1:6" ht="13.5" thickBot="1" x14ac:dyDescent="0.25">
      <c r="A13" s="1025" t="s">
        <v>609</v>
      </c>
      <c r="B13" s="1026">
        <f>SUM(B6:B12)</f>
        <v>168611550</v>
      </c>
      <c r="C13" s="1026">
        <f>SUM(C6:C12)</f>
        <v>6985000</v>
      </c>
      <c r="D13" s="1026">
        <f>SUM(D6:D12)</f>
        <v>0</v>
      </c>
      <c r="E13" s="1027">
        <f t="shared" si="0"/>
        <v>175596550</v>
      </c>
      <c r="F13" s="1115"/>
    </row>
    <row r="14" spans="1:6" ht="13.5" thickBot="1" x14ac:dyDescent="0.25">
      <c r="A14" s="983"/>
      <c r="B14" s="983"/>
      <c r="C14" s="983"/>
      <c r="D14" s="983"/>
      <c r="E14" s="983"/>
      <c r="F14" s="1115"/>
    </row>
    <row r="15" spans="1:6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  <c r="F15" s="1115"/>
    </row>
    <row r="16" spans="1:6" x14ac:dyDescent="0.2">
      <c r="A16" s="975" t="s">
        <v>611</v>
      </c>
      <c r="B16" s="976"/>
      <c r="C16" s="976"/>
      <c r="D16" s="976"/>
      <c r="E16" s="977">
        <f t="shared" ref="E16:E23" si="1">SUM(B16:D16)</f>
        <v>0</v>
      </c>
      <c r="F16" s="1115"/>
    </row>
    <row r="17" spans="1:6" x14ac:dyDescent="0.2">
      <c r="A17" s="984" t="s">
        <v>612</v>
      </c>
      <c r="B17" s="1034">
        <v>4699000</v>
      </c>
      <c r="C17" s="525">
        <f>148007150+771575-11646428</f>
        <v>137132297</v>
      </c>
      <c r="D17" s="1034"/>
      <c r="E17" s="1035">
        <f t="shared" si="1"/>
        <v>141831297</v>
      </c>
      <c r="F17" s="1115"/>
    </row>
    <row r="18" spans="1:6" x14ac:dyDescent="0.2">
      <c r="A18" s="981" t="s">
        <v>613</v>
      </c>
      <c r="B18" s="1034"/>
      <c r="C18" s="525">
        <f>5105400+287250+125850-413100</f>
        <v>5105400</v>
      </c>
      <c r="D18" s="1034"/>
      <c r="E18" s="1035">
        <f t="shared" si="1"/>
        <v>5105400</v>
      </c>
      <c r="F18" s="1115"/>
    </row>
    <row r="19" spans="1:6" x14ac:dyDescent="0.2">
      <c r="A19" s="981" t="s">
        <v>614</v>
      </c>
      <c r="B19" s="1034"/>
      <c r="C19" s="1034"/>
      <c r="D19" s="1034"/>
      <c r="E19" s="1035">
        <f t="shared" si="1"/>
        <v>0</v>
      </c>
      <c r="F19" s="1115"/>
    </row>
    <row r="20" spans="1:6" x14ac:dyDescent="0.2">
      <c r="A20" s="985" t="s">
        <v>615</v>
      </c>
      <c r="B20" s="1034"/>
      <c r="C20" s="525">
        <f>6985000-381000</f>
        <v>6604000</v>
      </c>
      <c r="D20" s="1034"/>
      <c r="E20" s="1035">
        <f t="shared" si="1"/>
        <v>6604000</v>
      </c>
      <c r="F20" s="1115"/>
    </row>
    <row r="21" spans="1:6" x14ac:dyDescent="0.2">
      <c r="A21" s="985" t="s">
        <v>616</v>
      </c>
      <c r="B21" s="1034"/>
      <c r="C21" s="525">
        <f>10800000+11255853</f>
        <v>22055853</v>
      </c>
      <c r="D21" s="1034"/>
      <c r="E21" s="1035">
        <f t="shared" si="1"/>
        <v>22055853</v>
      </c>
      <c r="F21" s="1115"/>
    </row>
    <row r="22" spans="1:6" ht="13.5" thickBot="1" x14ac:dyDescent="0.25">
      <c r="A22" s="982"/>
      <c r="B22" s="1036"/>
      <c r="C22" s="1036"/>
      <c r="D22" s="1036"/>
      <c r="E22" s="1035">
        <f t="shared" si="1"/>
        <v>0</v>
      </c>
      <c r="F22" s="1115"/>
    </row>
    <row r="23" spans="1:6" ht="13.5" thickBot="1" x14ac:dyDescent="0.25">
      <c r="A23" s="1025" t="s">
        <v>54</v>
      </c>
      <c r="B23" s="1026">
        <f>SUM(B16:B22)</f>
        <v>4699000</v>
      </c>
      <c r="C23" s="1026">
        <f>SUM(C16:C22)</f>
        <v>170897550</v>
      </c>
      <c r="D23" s="1026">
        <f>SUM(D16:D22)</f>
        <v>0</v>
      </c>
      <c r="E23" s="1027">
        <f t="shared" si="1"/>
        <v>175596550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98" t="s">
        <v>993</v>
      </c>
      <c r="B25" s="1498"/>
      <c r="C25" s="1498"/>
      <c r="D25" s="1498"/>
      <c r="E25" s="1498"/>
    </row>
    <row r="26" spans="1:6" ht="14.25" thickBot="1" x14ac:dyDescent="0.3">
      <c r="A26" s="1116"/>
      <c r="B26" s="1116"/>
      <c r="C26" s="1116"/>
      <c r="D26" s="1497" t="s">
        <v>563</v>
      </c>
      <c r="E26" s="1497"/>
    </row>
    <row r="27" spans="1:6" ht="13.5" thickBot="1" x14ac:dyDescent="0.25">
      <c r="A27" s="1117" t="s">
        <v>603</v>
      </c>
      <c r="B27" s="1118" t="s">
        <v>875</v>
      </c>
      <c r="C27" s="1118" t="s">
        <v>812</v>
      </c>
      <c r="D27" s="1118" t="s">
        <v>876</v>
      </c>
      <c r="E27" s="1119" t="s">
        <v>53</v>
      </c>
    </row>
    <row r="28" spans="1:6" x14ac:dyDescent="0.2">
      <c r="A28" s="1120" t="s">
        <v>604</v>
      </c>
      <c r="B28" s="1121">
        <v>11110000</v>
      </c>
      <c r="C28" s="1121">
        <v>-9999000</v>
      </c>
      <c r="D28" s="1121"/>
      <c r="E28" s="1122">
        <v>1111000</v>
      </c>
    </row>
    <row r="29" spans="1:6" x14ac:dyDescent="0.2">
      <c r="A29" s="1123" t="s">
        <v>605</v>
      </c>
      <c r="B29" s="1124"/>
      <c r="C29" s="1124"/>
      <c r="D29" s="1124"/>
      <c r="E29" s="1125">
        <v>0</v>
      </c>
    </row>
    <row r="30" spans="1:6" x14ac:dyDescent="0.2">
      <c r="A30" s="1126" t="s">
        <v>606</v>
      </c>
      <c r="B30" s="1127"/>
      <c r="C30" s="1127">
        <v>9999000</v>
      </c>
      <c r="D30" s="1127"/>
      <c r="E30" s="1129">
        <v>9999000</v>
      </c>
    </row>
    <row r="31" spans="1:6" x14ac:dyDescent="0.2">
      <c r="A31" s="1126" t="s">
        <v>607</v>
      </c>
      <c r="B31" s="1127"/>
      <c r="C31" s="1127"/>
      <c r="D31" s="1127"/>
      <c r="E31" s="1129">
        <v>0</v>
      </c>
    </row>
    <row r="32" spans="1:6" x14ac:dyDescent="0.2">
      <c r="A32" s="1126" t="s">
        <v>123</v>
      </c>
      <c r="B32" s="1127"/>
      <c r="C32" s="1127"/>
      <c r="D32" s="1127"/>
      <c r="E32" s="1129">
        <v>0</v>
      </c>
    </row>
    <row r="33" spans="1:5" x14ac:dyDescent="0.2">
      <c r="A33" s="1126" t="s">
        <v>608</v>
      </c>
      <c r="B33" s="1127"/>
      <c r="C33" s="1127"/>
      <c r="D33" s="1127"/>
      <c r="E33" s="1129">
        <v>0</v>
      </c>
    </row>
    <row r="34" spans="1:5" ht="13.5" thickBot="1" x14ac:dyDescent="0.25">
      <c r="A34" s="1130"/>
      <c r="B34" s="1131"/>
      <c r="C34" s="1131"/>
      <c r="D34" s="1131"/>
      <c r="E34" s="1129">
        <v>0</v>
      </c>
    </row>
    <row r="35" spans="1:5" ht="13.5" thickBot="1" x14ac:dyDescent="0.25">
      <c r="A35" s="1132" t="s">
        <v>609</v>
      </c>
      <c r="B35" s="1133">
        <v>11110000</v>
      </c>
      <c r="C35" s="1133">
        <v>0</v>
      </c>
      <c r="D35" s="1133">
        <v>0</v>
      </c>
      <c r="E35" s="1134">
        <v>11110000</v>
      </c>
    </row>
    <row r="36" spans="1:5" ht="13.5" thickBot="1" x14ac:dyDescent="0.25">
      <c r="A36" s="1135"/>
      <c r="B36" s="1135"/>
      <c r="C36" s="1135"/>
      <c r="D36" s="1135"/>
      <c r="E36" s="1135"/>
    </row>
    <row r="37" spans="1:5" ht="13.5" thickBot="1" x14ac:dyDescent="0.25">
      <c r="A37" s="1117" t="s">
        <v>610</v>
      </c>
      <c r="B37" s="1118" t="s">
        <v>875</v>
      </c>
      <c r="C37" s="1118" t="s">
        <v>812</v>
      </c>
      <c r="D37" s="1118" t="s">
        <v>876</v>
      </c>
      <c r="E37" s="1119" t="s">
        <v>53</v>
      </c>
    </row>
    <row r="38" spans="1:5" x14ac:dyDescent="0.2">
      <c r="A38" s="1120" t="s">
        <v>611</v>
      </c>
      <c r="B38" s="1121">
        <v>300000</v>
      </c>
      <c r="C38" s="1121"/>
      <c r="D38" s="1121"/>
      <c r="E38" s="1122">
        <v>300000</v>
      </c>
    </row>
    <row r="39" spans="1:5" x14ac:dyDescent="0.2">
      <c r="A39" s="1137" t="s">
        <v>612</v>
      </c>
      <c r="B39" s="1127">
        <v>1190000</v>
      </c>
      <c r="C39" s="1127"/>
      <c r="D39" s="1127"/>
      <c r="E39" s="1129">
        <v>1190000</v>
      </c>
    </row>
    <row r="40" spans="1:5" x14ac:dyDescent="0.2">
      <c r="A40" s="1126" t="s">
        <v>613</v>
      </c>
      <c r="B40" s="1127">
        <v>9620000</v>
      </c>
      <c r="C40" s="1127"/>
      <c r="D40" s="1127"/>
      <c r="E40" s="1129">
        <v>9620000</v>
      </c>
    </row>
    <row r="41" spans="1:5" x14ac:dyDescent="0.2">
      <c r="A41" s="1126" t="s">
        <v>614</v>
      </c>
      <c r="B41" s="1127"/>
      <c r="C41" s="1127"/>
      <c r="D41" s="1127"/>
      <c r="E41" s="1129">
        <v>0</v>
      </c>
    </row>
    <row r="42" spans="1:5" x14ac:dyDescent="0.2">
      <c r="A42" s="1138" t="s">
        <v>615</v>
      </c>
      <c r="B42" s="1127"/>
      <c r="C42" s="1127"/>
      <c r="D42" s="1127"/>
      <c r="E42" s="1129">
        <v>0</v>
      </c>
    </row>
    <row r="43" spans="1:5" x14ac:dyDescent="0.2">
      <c r="A43" s="1138" t="s">
        <v>616</v>
      </c>
      <c r="B43" s="1127"/>
      <c r="C43" s="1127"/>
      <c r="D43" s="1127"/>
      <c r="E43" s="1129">
        <v>0</v>
      </c>
    </row>
    <row r="44" spans="1:5" ht="13.5" thickBot="1" x14ac:dyDescent="0.25">
      <c r="A44" s="1130"/>
      <c r="B44" s="1131"/>
      <c r="C44" s="1131"/>
      <c r="D44" s="1131"/>
      <c r="E44" s="1129">
        <v>0</v>
      </c>
    </row>
    <row r="45" spans="1:5" ht="13.5" thickBot="1" x14ac:dyDescent="0.25">
      <c r="A45" s="1132" t="s">
        <v>54</v>
      </c>
      <c r="B45" s="1133">
        <v>11110000</v>
      </c>
      <c r="C45" s="1133">
        <v>0</v>
      </c>
      <c r="D45" s="1133">
        <v>0</v>
      </c>
      <c r="E45" s="1134">
        <v>11110000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6" priority="2" stopIfTrue="1" operator="equal">
      <formula>0</formula>
    </cfRule>
  </conditionalFormatting>
  <conditionalFormatting sqref="E28:E35 B35:D35 B45:E45 E38:E44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K167"/>
  <sheetViews>
    <sheetView tabSelected="1" topLeftCell="A37" zoomScale="115" zoomScaleNormal="115" zoomScaleSheetLayoutView="115" zoomScalePageLayoutView="85" workbookViewId="0">
      <selection activeCell="B96" sqref="B96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0" width="9.33203125" style="179" hidden="1" customWidth="1"/>
    <col min="11" max="11" width="0" style="179" hidden="1" customWidth="1"/>
    <col min="12" max="16384" width="9.33203125" style="179"/>
  </cols>
  <sheetData>
    <row r="1" spans="1:9" s="840" customFormat="1" x14ac:dyDescent="0.25">
      <c r="A1" s="1455" t="str">
        <f>CONCATENATE("1. melléklet"," ",ALAPADATOK!A7," ",ALAPADATOK!B7," ",ALAPADATOK!C7," ",ALAPADATOK!D7," ",ALAPADATOK!E7," ",ALAPADATOK!F7," ",ALAPADATOK!G7," ",ALAPADATOK!H7)</f>
        <v>1. melléklet a  / 2020. (  ) önkormányzati rendelethez</v>
      </c>
      <c r="B1" s="1455"/>
      <c r="C1" s="1455"/>
      <c r="H1" s="382"/>
      <c r="I1" s="383"/>
    </row>
    <row r="2" spans="1:9" s="848" customFormat="1" x14ac:dyDescent="0.25">
      <c r="A2" s="904"/>
      <c r="B2" s="904"/>
      <c r="C2" s="904"/>
      <c r="H2" s="382"/>
      <c r="I2" s="383"/>
    </row>
    <row r="3" spans="1:9" s="840" customFormat="1" x14ac:dyDescent="0.25">
      <c r="A3" s="1453" t="str">
        <f>CONCATENATE(ALAPADATOK!A3)</f>
        <v>Tiszavasvári Város Önkormányzat</v>
      </c>
      <c r="B3" s="1453"/>
      <c r="C3" s="1453"/>
      <c r="H3" s="382"/>
      <c r="I3" s="383"/>
    </row>
    <row r="4" spans="1:9" s="840" customFormat="1" x14ac:dyDescent="0.25">
      <c r="A4" s="1454" t="str">
        <f>CONCATENATE(ALAPADATOK!D7," ÉVI KÖLTSÉGVETÉS")</f>
        <v>2020. ÉVI KÖLTSÉGVETÉS</v>
      </c>
      <c r="B4" s="1454"/>
      <c r="C4" s="1454"/>
      <c r="H4" s="382"/>
      <c r="I4" s="383"/>
    </row>
    <row r="5" spans="1:9" s="840" customFormat="1" x14ac:dyDescent="0.25">
      <c r="A5" s="1454" t="s">
        <v>890</v>
      </c>
      <c r="B5" s="1454"/>
      <c r="C5" s="1454"/>
      <c r="H5" s="382"/>
      <c r="I5" s="383"/>
    </row>
    <row r="6" spans="1:9" s="840" customFormat="1" x14ac:dyDescent="0.25">
      <c r="C6" s="312"/>
      <c r="H6" s="382"/>
      <c r="I6" s="383"/>
    </row>
    <row r="7" spans="1:9" ht="15.95" customHeight="1" x14ac:dyDescent="0.25">
      <c r="A7" s="1457" t="s">
        <v>18</v>
      </c>
      <c r="B7" s="1457"/>
      <c r="C7" s="1457"/>
    </row>
    <row r="8" spans="1:9" ht="15.95" customHeight="1" thickBot="1" x14ac:dyDescent="0.3">
      <c r="A8" s="1456" t="s">
        <v>128</v>
      </c>
      <c r="B8" s="1456"/>
      <c r="C8" s="126" t="s">
        <v>554</v>
      </c>
    </row>
    <row r="9" spans="1:9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9" s="191" customFormat="1" ht="12" customHeight="1" thickBot="1" x14ac:dyDescent="0.25">
      <c r="A10" s="185" t="s">
        <v>446</v>
      </c>
      <c r="B10" s="186" t="s">
        <v>447</v>
      </c>
      <c r="C10" s="187" t="s">
        <v>448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194</v>
      </c>
      <c r="C11" s="117">
        <f t="shared" ref="C11:C44" si="0">SUM(D11:F11)</f>
        <v>1492762052</v>
      </c>
      <c r="D11" s="282">
        <f>+D12+D13+D14+D17+D18+D19</f>
        <v>1492762052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1492762052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99</v>
      </c>
      <c r="B12" s="193" t="s">
        <v>195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100</v>
      </c>
      <c r="B13" s="194" t="s">
        <v>196</v>
      </c>
      <c r="C13" s="305">
        <f t="shared" si="0"/>
        <v>246915579</v>
      </c>
      <c r="D13" s="121">
        <f>229603230+17312349</f>
        <v>246915579</v>
      </c>
      <c r="E13" s="121"/>
      <c r="F13" s="121"/>
      <c r="H13" s="384">
        <f>'1.2.sz.mell. '!C13+'1.3.sz.mell.'!C13+'1.4.sz.mell. '!C13+'1.5.sz.mell.'!C13</f>
        <v>246915579</v>
      </c>
      <c r="I13" s="386">
        <f t="shared" si="1"/>
        <v>0</v>
      </c>
    </row>
    <row r="14" spans="1:9" s="192" customFormat="1" ht="12" customHeight="1" thickBot="1" x14ac:dyDescent="0.25">
      <c r="A14" s="11" t="s">
        <v>101</v>
      </c>
      <c r="B14" s="194" t="s">
        <v>998</v>
      </c>
      <c r="C14" s="305">
        <f t="shared" si="0"/>
        <v>815989004</v>
      </c>
      <c r="D14" s="121">
        <f>SUM(D15:D16)</f>
        <v>815989004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815989004</v>
      </c>
      <c r="I14" s="386">
        <f t="shared" si="1"/>
        <v>0</v>
      </c>
    </row>
    <row r="15" spans="1:9" s="192" customFormat="1" ht="12" customHeight="1" thickBot="1" x14ac:dyDescent="0.25">
      <c r="A15" s="11" t="s">
        <v>996</v>
      </c>
      <c r="B15" s="194" t="s">
        <v>999</v>
      </c>
      <c r="C15" s="305">
        <f t="shared" si="0"/>
        <v>626080962</v>
      </c>
      <c r="D15" s="121">
        <f>565871103+33216359-62000+22559700+4495800</f>
        <v>626080962</v>
      </c>
      <c r="E15" s="121"/>
      <c r="F15" s="121"/>
      <c r="H15" s="384">
        <f>'1.2.sz.mell. '!C15+'1.3.sz.mell.'!C15+'1.4.sz.mell. '!C15+'1.5.sz.mell.'!C15</f>
        <v>626080962</v>
      </c>
      <c r="I15" s="386">
        <f t="shared" si="1"/>
        <v>0</v>
      </c>
    </row>
    <row r="16" spans="1:9" s="192" customFormat="1" ht="12" customHeight="1" thickBot="1" x14ac:dyDescent="0.25">
      <c r="A16" s="11" t="s">
        <v>997</v>
      </c>
      <c r="B16" s="194" t="s">
        <v>1000</v>
      </c>
      <c r="C16" s="305">
        <f t="shared" si="0"/>
        <v>189908042</v>
      </c>
      <c r="D16" s="121">
        <f>186127562+3780480</f>
        <v>189908042</v>
      </c>
      <c r="E16" s="121"/>
      <c r="F16" s="121"/>
      <c r="H16" s="384">
        <f>'1.2.sz.mell. '!C16+'1.3.sz.mell.'!C16+'1.4.sz.mell. '!C16+'1.5.sz.mell.'!C16</f>
        <v>189908042</v>
      </c>
      <c r="I16" s="386">
        <f t="shared" si="1"/>
        <v>0</v>
      </c>
    </row>
    <row r="17" spans="1:9" s="192" customFormat="1" ht="12" customHeight="1" thickBot="1" x14ac:dyDescent="0.25">
      <c r="A17" s="11" t="s">
        <v>102</v>
      </c>
      <c r="B17" s="194" t="s">
        <v>198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125</v>
      </c>
      <c r="B18" s="113" t="s">
        <v>449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4">
        <f>'1.2.sz.mell. '!C18+'1.3.sz.mell.'!C18+'1.4.sz.mell. '!C18+'1.5.sz.mell.'!C18</f>
        <v>132548276</v>
      </c>
      <c r="I18" s="386">
        <f t="shared" si="1"/>
        <v>0</v>
      </c>
    </row>
    <row r="19" spans="1:9" s="192" customFormat="1" ht="12" customHeight="1" thickBot="1" x14ac:dyDescent="0.25">
      <c r="A19" s="13" t="s">
        <v>103</v>
      </c>
      <c r="B19" s="114" t="s">
        <v>450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199</v>
      </c>
      <c r="C20" s="117">
        <f t="shared" si="0"/>
        <v>341203773</v>
      </c>
      <c r="D20" s="282">
        <f>+D21+D22+D23+D24+D25</f>
        <v>232823844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341203773</v>
      </c>
      <c r="I20" s="384">
        <f t="shared" si="1"/>
        <v>0</v>
      </c>
    </row>
    <row r="21" spans="1:9" s="192" customFormat="1" ht="12" customHeight="1" thickBot="1" x14ac:dyDescent="0.25">
      <c r="A21" s="12" t="s">
        <v>105</v>
      </c>
      <c r="B21" s="193" t="s">
        <v>200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106</v>
      </c>
      <c r="B22" s="194" t="s">
        <v>201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107</v>
      </c>
      <c r="B23" s="194" t="s">
        <v>369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108</v>
      </c>
      <c r="B24" s="194" t="s">
        <v>370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109</v>
      </c>
      <c r="B25" s="194" t="s">
        <v>202</v>
      </c>
      <c r="C25" s="1140">
        <f t="shared" si="0"/>
        <v>341203773</v>
      </c>
      <c r="D25" s="267">
        <f>231379098+1540460+4308828+557865-8195505+3233098</f>
        <v>232823844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341203773</v>
      </c>
      <c r="I25" s="386">
        <f t="shared" si="1"/>
        <v>0</v>
      </c>
    </row>
    <row r="26" spans="1:9" s="192" customFormat="1" ht="12" customHeight="1" thickBot="1" x14ac:dyDescent="0.25">
      <c r="A26" s="13" t="s">
        <v>118</v>
      </c>
      <c r="B26" s="114" t="s">
        <v>203</v>
      </c>
      <c r="C26" s="1214">
        <f t="shared" si="0"/>
        <v>202062785</v>
      </c>
      <c r="D26" s="271">
        <f>16392698+1485000+35012760+60895972+1540460+1240576-8195505+2763895</f>
        <v>111135856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202062785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204</v>
      </c>
      <c r="C27" s="117">
        <f t="shared" si="0"/>
        <v>312308446</v>
      </c>
      <c r="D27" s="282">
        <f>+D28+D29+D30+D31+D32</f>
        <v>301596246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312308446</v>
      </c>
      <c r="I27" s="384">
        <f t="shared" si="1"/>
        <v>0</v>
      </c>
    </row>
    <row r="28" spans="1:9" s="192" customFormat="1" ht="12" customHeight="1" thickBot="1" x14ac:dyDescent="0.25">
      <c r="A28" s="12" t="s">
        <v>88</v>
      </c>
      <c r="B28" s="193" t="s">
        <v>205</v>
      </c>
      <c r="C28" s="1145">
        <f t="shared" si="0"/>
        <v>34511116</v>
      </c>
      <c r="D28" s="286">
        <v>34511116</v>
      </c>
      <c r="E28" s="589"/>
      <c r="F28" s="589"/>
      <c r="H28" s="384">
        <f>'1.2.sz.mell. '!C28+'1.3.sz.mell.'!C28+'1.4.sz.mell. '!C28+'1.5.sz.mell.'!C28</f>
        <v>34511116</v>
      </c>
      <c r="I28" s="385">
        <f t="shared" si="1"/>
        <v>0</v>
      </c>
    </row>
    <row r="29" spans="1:9" s="192" customFormat="1" ht="12" customHeight="1" thickBot="1" x14ac:dyDescent="0.25">
      <c r="A29" s="11" t="s">
        <v>89</v>
      </c>
      <c r="B29" s="194" t="s">
        <v>206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136</v>
      </c>
      <c r="B32" s="194" t="s">
        <v>207</v>
      </c>
      <c r="C32" s="1140">
        <f t="shared" si="0"/>
        <v>277797330</v>
      </c>
      <c r="D32" s="267">
        <f>36977634+5200000-2432050+227339546</f>
        <v>267085130</v>
      </c>
      <c r="E32" s="121"/>
      <c r="F32" s="121">
        <f>10712200</f>
        <v>10712200</v>
      </c>
      <c r="H32" s="384">
        <f>'1.2.sz.mell. '!C32+'1.3.sz.mell.'!C32+'1.4.sz.mell. '!C32+'1.5.sz.mell.'!C32</f>
        <v>277797330</v>
      </c>
      <c r="I32" s="386">
        <f t="shared" si="1"/>
        <v>0</v>
      </c>
    </row>
    <row r="33" spans="1:9" s="192" customFormat="1" ht="12" customHeight="1" thickBot="1" x14ac:dyDescent="0.25">
      <c r="A33" s="13" t="s">
        <v>137</v>
      </c>
      <c r="B33" s="195" t="s">
        <v>208</v>
      </c>
      <c r="C33" s="1214">
        <f t="shared" si="0"/>
        <v>237747630</v>
      </c>
      <c r="D33" s="271">
        <f>2634996+5500000+6350000+12274550+10218088-2432050+202109846</f>
        <v>236655430</v>
      </c>
      <c r="E33" s="182"/>
      <c r="F33" s="182">
        <f>1092200</f>
        <v>1092200</v>
      </c>
      <c r="H33" s="384">
        <f>'1.2.sz.mell. '!C33+'1.3.sz.mell.'!C33+'1.4.sz.mell. '!C33+'1.5.sz.mell.'!C33</f>
        <v>237747630</v>
      </c>
      <c r="I33" s="387">
        <f t="shared" si="1"/>
        <v>0</v>
      </c>
    </row>
    <row r="34" spans="1:9" s="192" customFormat="1" ht="12" customHeight="1" thickBot="1" x14ac:dyDescent="0.25">
      <c r="A34" s="17" t="s">
        <v>138</v>
      </c>
      <c r="B34" s="18" t="s">
        <v>655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210</v>
      </c>
      <c r="B35" s="193" t="s">
        <v>651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211</v>
      </c>
      <c r="B36" s="194" t="s">
        <v>216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212</v>
      </c>
      <c r="B37" s="251" t="s">
        <v>650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213</v>
      </c>
      <c r="B38" s="194" t="s">
        <v>537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538</v>
      </c>
      <c r="B39" s="194" t="s">
        <v>217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215</v>
      </c>
      <c r="B40" s="194" t="s">
        <v>218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539</v>
      </c>
      <c r="B41" s="195" t="s">
        <v>219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451</v>
      </c>
      <c r="C42" s="117">
        <f>SUM(D42:F42)</f>
        <v>339351277</v>
      </c>
      <c r="D42" s="282">
        <f>SUM(D43:D53)</f>
        <v>49249817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339351277</v>
      </c>
      <c r="I42" s="384">
        <f t="shared" si="1"/>
        <v>0</v>
      </c>
    </row>
    <row r="43" spans="1:9" s="192" customFormat="1" ht="12" customHeight="1" thickBot="1" x14ac:dyDescent="0.25">
      <c r="A43" s="12" t="s">
        <v>92</v>
      </c>
      <c r="B43" s="193" t="s">
        <v>222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93</v>
      </c>
      <c r="B44" s="194" t="s">
        <v>223</v>
      </c>
      <c r="C44" s="1140">
        <f t="shared" si="0"/>
        <v>76584425</v>
      </c>
      <c r="D44" s="267">
        <f>18821599-47244-38100</f>
        <v>18736255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76584425</v>
      </c>
      <c r="I44" s="386">
        <f t="shared" si="1"/>
        <v>0</v>
      </c>
    </row>
    <row r="45" spans="1:9" s="192" customFormat="1" ht="12" customHeight="1" thickBot="1" x14ac:dyDescent="0.25">
      <c r="A45" s="11" t="s">
        <v>94</v>
      </c>
      <c r="B45" s="194" t="s">
        <v>224</v>
      </c>
      <c r="C45" s="1140">
        <f t="shared" ref="C45:C95" si="3">SUM(D45:F45)</f>
        <v>28959469</v>
      </c>
      <c r="D45" s="267">
        <f>8868669+808800+200000+30000</f>
        <v>9907469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28959469</v>
      </c>
      <c r="I45" s="386">
        <f t="shared" si="1"/>
        <v>0</v>
      </c>
    </row>
    <row r="46" spans="1:9" s="192" customFormat="1" ht="12" customHeight="1" thickBot="1" x14ac:dyDescent="0.25">
      <c r="A46" s="11" t="s">
        <v>140</v>
      </c>
      <c r="B46" s="194" t="s">
        <v>225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141</v>
      </c>
      <c r="B47" s="194" t="s">
        <v>226</v>
      </c>
      <c r="C47" s="1140">
        <f>SUM(D47:F47)</f>
        <v>190204778</v>
      </c>
      <c r="D47" s="267">
        <v>-200000</v>
      </c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190204778</v>
      </c>
      <c r="I47" s="386">
        <f t="shared" si="1"/>
        <v>0</v>
      </c>
    </row>
    <row r="48" spans="1:9" s="192" customFormat="1" ht="12" customHeight="1" thickBot="1" x14ac:dyDescent="0.25">
      <c r="A48" s="11" t="s">
        <v>142</v>
      </c>
      <c r="B48" s="194" t="s">
        <v>227</v>
      </c>
      <c r="C48" s="1140">
        <f t="shared" si="3"/>
        <v>22140077</v>
      </c>
      <c r="D48" s="267">
        <f>8330221-12756+54000+8100</f>
        <v>8379565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22140077</v>
      </c>
      <c r="I48" s="386">
        <f t="shared" si="1"/>
        <v>0</v>
      </c>
    </row>
    <row r="49" spans="1:9" s="192" customFormat="1" ht="12" customHeight="1" thickBot="1" x14ac:dyDescent="0.25">
      <c r="A49" s="11" t="s">
        <v>143</v>
      </c>
      <c r="B49" s="194" t="s">
        <v>228</v>
      </c>
      <c r="C49" s="305">
        <f t="shared" si="3"/>
        <v>8775000</v>
      </c>
      <c r="D49" s="267"/>
      <c r="E49" s="121"/>
      <c r="F49" s="231">
        <f>366000+680000+7729000</f>
        <v>8775000</v>
      </c>
      <c r="H49" s="384">
        <f>'1.2.sz.mell. '!C49+'1.3.sz.mell.'!C49+'1.4.sz.mell. '!C49+'1.5.sz.mell.'!C49</f>
        <v>8775000</v>
      </c>
      <c r="I49" s="386">
        <f t="shared" si="1"/>
        <v>0</v>
      </c>
    </row>
    <row r="50" spans="1:9" s="192" customFormat="1" ht="12" customHeight="1" thickBot="1" x14ac:dyDescent="0.25">
      <c r="A50" s="11" t="s">
        <v>144</v>
      </c>
      <c r="B50" s="194" t="s">
        <v>543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220</v>
      </c>
      <c r="B51" s="194" t="s">
        <v>230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221</v>
      </c>
      <c r="B52" s="195" t="s">
        <v>452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453</v>
      </c>
      <c r="B53" s="114" t="s">
        <v>231</v>
      </c>
      <c r="C53" s="1214">
        <f t="shared" si="3"/>
        <v>2485392</v>
      </c>
      <c r="D53" s="271">
        <f>1087601+956791+200000</f>
        <v>2244392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2485392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232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95</v>
      </c>
      <c r="B55" s="193" t="s">
        <v>236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96</v>
      </c>
      <c r="B56" s="194" t="s">
        <v>237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233</v>
      </c>
      <c r="B57" s="194" t="s">
        <v>238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234</v>
      </c>
      <c r="B58" s="194" t="s">
        <v>239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235</v>
      </c>
      <c r="B59" s="114" t="s">
        <v>240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145</v>
      </c>
      <c r="B60" s="454" t="s">
        <v>241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97</v>
      </c>
      <c r="B61" s="193" t="s">
        <v>242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98</v>
      </c>
      <c r="B62" s="194" t="s">
        <v>373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245</v>
      </c>
      <c r="B63" s="194" t="s">
        <v>243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246</v>
      </c>
      <c r="B64" s="114" t="s">
        <v>244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247</v>
      </c>
      <c r="C65" s="117">
        <f t="shared" si="3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6000000</v>
      </c>
      <c r="I65" s="384">
        <f t="shared" si="1"/>
        <v>0</v>
      </c>
    </row>
    <row r="66" spans="1:9" s="192" customFormat="1" ht="12" customHeight="1" thickBot="1" x14ac:dyDescent="0.25">
      <c r="A66" s="12" t="s">
        <v>146</v>
      </c>
      <c r="B66" s="193" t="s">
        <v>249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147</v>
      </c>
      <c r="B67" s="194" t="s">
        <v>374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173</v>
      </c>
      <c r="B68" s="194" t="s">
        <v>250</v>
      </c>
      <c r="C68" s="305">
        <f t="shared" si="3"/>
        <v>6000000</v>
      </c>
      <c r="D68" s="267">
        <f>6000000</f>
        <v>6000000</v>
      </c>
      <c r="E68" s="121"/>
      <c r="F68" s="121"/>
      <c r="H68" s="384">
        <f>'1.2.sz.mell. '!C68+'1.3.sz.mell.'!C68+'1.4.sz.mell. '!C68+'1.5.sz.mell.'!C68</f>
        <v>6000000</v>
      </c>
      <c r="I68" s="386">
        <f t="shared" si="1"/>
        <v>0</v>
      </c>
    </row>
    <row r="69" spans="1:9" s="192" customFormat="1" ht="12" customHeight="1" thickBot="1" x14ac:dyDescent="0.25">
      <c r="A69" s="13" t="s">
        <v>248</v>
      </c>
      <c r="B69" s="114" t="s">
        <v>251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454</v>
      </c>
      <c r="B70" s="18" t="s">
        <v>252</v>
      </c>
      <c r="C70" s="117">
        <f t="shared" si="3"/>
        <v>3041769131</v>
      </c>
      <c r="D70" s="285">
        <f>+D11+D20+D27+D34+D42+D54+D60+D65</f>
        <v>2632275542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3041769131</v>
      </c>
      <c r="I70" s="384">
        <f t="shared" si="1"/>
        <v>0</v>
      </c>
    </row>
    <row r="71" spans="1:9" s="192" customFormat="1" ht="12" customHeight="1" thickBot="1" x14ac:dyDescent="0.25">
      <c r="A71" s="253" t="s">
        <v>253</v>
      </c>
      <c r="B71" s="112" t="s">
        <v>254</v>
      </c>
      <c r="C71" s="117">
        <f t="shared" si="3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733570614</v>
      </c>
      <c r="I71" s="384">
        <f t="shared" si="1"/>
        <v>0</v>
      </c>
    </row>
    <row r="72" spans="1:9" s="192" customFormat="1" ht="12" customHeight="1" thickBot="1" x14ac:dyDescent="0.25">
      <c r="A72" s="12" t="s">
        <v>285</v>
      </c>
      <c r="B72" s="193" t="s">
        <v>255</v>
      </c>
      <c r="C72" s="47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294</v>
      </c>
      <c r="B73" s="194" t="s">
        <v>256</v>
      </c>
      <c r="C73" s="305">
        <f t="shared" si="3"/>
        <v>700000000</v>
      </c>
      <c r="D73" s="267">
        <v>700000000</v>
      </c>
      <c r="E73" s="121"/>
      <c r="F73" s="121"/>
      <c r="H73" s="384">
        <f>'1.2.sz.mell. '!C73+'1.3.sz.mell.'!C73+'1.4.sz.mell. '!C73+'1.5.sz.mell.'!C73</f>
        <v>700000000</v>
      </c>
      <c r="I73" s="386">
        <f t="shared" si="1"/>
        <v>0</v>
      </c>
    </row>
    <row r="74" spans="1:9" s="192" customFormat="1" ht="12" customHeight="1" thickBot="1" x14ac:dyDescent="0.25">
      <c r="A74" s="13" t="s">
        <v>295</v>
      </c>
      <c r="B74" s="254" t="s">
        <v>455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258</v>
      </c>
      <c r="B75" s="112" t="s">
        <v>259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126</v>
      </c>
      <c r="B76" s="193" t="s">
        <v>260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127</v>
      </c>
      <c r="B77" s="194" t="s">
        <v>261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286</v>
      </c>
      <c r="B78" s="194" t="s">
        <v>262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287</v>
      </c>
      <c r="B79" s="114" t="s">
        <v>263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264</v>
      </c>
      <c r="B80" s="112" t="s">
        <v>265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288</v>
      </c>
      <c r="B81" s="193" t="s">
        <v>266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289</v>
      </c>
      <c r="B82" s="114" t="s">
        <v>267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268</v>
      </c>
      <c r="B83" s="112" t="s">
        <v>269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290</v>
      </c>
      <c r="B84" s="193" t="s">
        <v>270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291</v>
      </c>
      <c r="B85" s="194" t="s">
        <v>271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292</v>
      </c>
      <c r="B86" s="114" t="s">
        <v>272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273</v>
      </c>
      <c r="B87" s="112" t="s">
        <v>293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274</v>
      </c>
      <c r="B88" s="193" t="s">
        <v>275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276</v>
      </c>
      <c r="B89" s="194" t="s">
        <v>277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278</v>
      </c>
      <c r="B90" s="194" t="s">
        <v>279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280</v>
      </c>
      <c r="B91" s="114" t="s">
        <v>281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282</v>
      </c>
      <c r="B92" s="112" t="s">
        <v>456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284</v>
      </c>
      <c r="B93" s="112" t="s">
        <v>283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296</v>
      </c>
      <c r="B94" s="200" t="s">
        <v>457</v>
      </c>
      <c r="C94" s="117">
        <f t="shared" si="3"/>
        <v>1743878152</v>
      </c>
      <c r="D94" s="285">
        <f>+D71+D75+D80+D83+D87+D93+D92</f>
        <v>1717483503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1743878152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458</v>
      </c>
      <c r="B95" s="201" t="s">
        <v>459</v>
      </c>
      <c r="C95" s="117">
        <f t="shared" si="3"/>
        <v>4785647283</v>
      </c>
      <c r="D95" s="285">
        <f>+D70+D94</f>
        <v>4349759045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4785647283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57" t="s">
        <v>49</v>
      </c>
      <c r="B97" s="1457"/>
      <c r="C97" s="1457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58" t="s">
        <v>129</v>
      </c>
      <c r="B98" s="1458"/>
      <c r="C98" s="59" t="s">
        <v>554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497</v>
      </c>
      <c r="C101" s="311">
        <f t="shared" ref="C101:C162" si="5">SUM(D101:F101)</f>
        <v>2801710394</v>
      </c>
      <c r="D101" s="290">
        <f>+D102+D103+D104+D105+D106+D119</f>
        <v>867596837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2801710394</v>
      </c>
      <c r="I101" s="384">
        <f t="shared" ref="I101:I162" si="6">C101-H101</f>
        <v>0</v>
      </c>
    </row>
    <row r="102" spans="1:9" ht="12" customHeight="1" thickBot="1" x14ac:dyDescent="0.3">
      <c r="A102" s="14" t="s">
        <v>99</v>
      </c>
      <c r="B102" s="7" t="s">
        <v>51</v>
      </c>
      <c r="C102" s="1141">
        <f t="shared" si="5"/>
        <v>1217602544</v>
      </c>
      <c r="D102" s="300">
        <f>58286055-89237+1931315-1861930+14491229+483000-2941921-457270</f>
        <v>69841241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1217602544</v>
      </c>
      <c r="I102" s="385">
        <f t="shared" si="6"/>
        <v>0</v>
      </c>
    </row>
    <row r="103" spans="1:9" ht="12" customHeight="1" thickBot="1" x14ac:dyDescent="0.3">
      <c r="A103" s="11" t="s">
        <v>100</v>
      </c>
      <c r="B103" s="5" t="s">
        <v>148</v>
      </c>
      <c r="C103" s="1141">
        <f t="shared" si="5"/>
        <v>229344560</v>
      </c>
      <c r="D103" s="267">
        <f>10325339-97868+389279+42840+1430690+74865-2007052+457270</f>
        <v>10615363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229344560</v>
      </c>
      <c r="I103" s="386">
        <f t="shared" si="6"/>
        <v>0</v>
      </c>
    </row>
    <row r="104" spans="1:9" ht="12" customHeight="1" thickBot="1" x14ac:dyDescent="0.3">
      <c r="A104" s="11" t="s">
        <v>101</v>
      </c>
      <c r="B104" s="5" t="s">
        <v>124</v>
      </c>
      <c r="C104" s="1141">
        <f>SUM(D104:F104)</f>
        <v>936651720</v>
      </c>
      <c r="D104" s="271">
        <f>370342378+308-649147+854937+18509-31253130+488+20617402+32000-5149435+14216853</f>
        <v>369031163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936651720</v>
      </c>
      <c r="I104" s="386">
        <f t="shared" si="6"/>
        <v>0</v>
      </c>
    </row>
    <row r="105" spans="1:9" ht="12" customHeight="1" thickBot="1" x14ac:dyDescent="0.3">
      <c r="A105" s="11" t="s">
        <v>102</v>
      </c>
      <c r="B105" s="5" t="s">
        <v>149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113</v>
      </c>
      <c r="B106" s="4" t="s">
        <v>150</v>
      </c>
      <c r="C106" s="430">
        <f t="shared" si="7"/>
        <v>214672293</v>
      </c>
      <c r="D106" s="271">
        <f>SUM(D107:D118)</f>
        <v>214669793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214672293</v>
      </c>
      <c r="I106" s="386">
        <f t="shared" si="6"/>
        <v>0</v>
      </c>
    </row>
    <row r="107" spans="1:9" ht="12" customHeight="1" thickBot="1" x14ac:dyDescent="0.3">
      <c r="A107" s="11" t="s">
        <v>103</v>
      </c>
      <c r="B107" s="5" t="s">
        <v>460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104</v>
      </c>
      <c r="B108" s="63" t="s">
        <v>461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114</v>
      </c>
      <c r="B109" s="63" t="s">
        <v>462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115</v>
      </c>
      <c r="B110" s="61" t="s">
        <v>299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116</v>
      </c>
      <c r="B111" s="62" t="s">
        <v>300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117</v>
      </c>
      <c r="B112" s="62" t="s">
        <v>301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119</v>
      </c>
      <c r="B113" s="61" t="s">
        <v>302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151</v>
      </c>
      <c r="B114" s="61" t="s">
        <v>303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297</v>
      </c>
      <c r="B115" s="62" t="s">
        <v>304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298</v>
      </c>
      <c r="B116" s="63" t="s">
        <v>305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463</v>
      </c>
      <c r="B117" s="63" t="s">
        <v>306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464</v>
      </c>
      <c r="B118" s="63" t="s">
        <v>307</v>
      </c>
      <c r="C118" s="430">
        <f t="shared" si="7"/>
        <v>212416617</v>
      </c>
      <c r="D118" s="267">
        <f>209809461-3+1620969+986190</f>
        <v>212416617</v>
      </c>
      <c r="E118" s="121"/>
      <c r="F118" s="182"/>
      <c r="H118" s="384">
        <f>'1.2.sz.mell. '!C118+'1.3.sz.mell.'!C118+'1.4.sz.mell. '!C118+'1.5.sz.mell.'!C118</f>
        <v>212416617</v>
      </c>
      <c r="I118" s="386">
        <f t="shared" si="6"/>
        <v>0</v>
      </c>
    </row>
    <row r="119" spans="1:11" ht="12" customHeight="1" thickBot="1" x14ac:dyDescent="0.3">
      <c r="A119" s="11" t="s">
        <v>465</v>
      </c>
      <c r="B119" s="5" t="s">
        <v>52</v>
      </c>
      <c r="C119" s="430">
        <f t="shared" si="7"/>
        <v>142139277</v>
      </c>
      <c r="D119" s="267">
        <f>SUM(D120:D121)</f>
        <v>142139277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142139277</v>
      </c>
      <c r="I119" s="386">
        <f t="shared" si="6"/>
        <v>0</v>
      </c>
    </row>
    <row r="120" spans="1:11" ht="12" customHeight="1" thickBot="1" x14ac:dyDescent="0.3">
      <c r="A120" s="11" t="s">
        <v>466</v>
      </c>
      <c r="B120" s="5" t="s">
        <v>467</v>
      </c>
      <c r="C120" s="1141">
        <f t="shared" si="7"/>
        <v>47365869</v>
      </c>
      <c r="D120" s="1207">
        <f>20000000+10207308-13229384-322815+29863551-32000+769709+109500</f>
        <v>47365869</v>
      </c>
      <c r="E120" s="182"/>
      <c r="F120" s="121"/>
      <c r="H120" s="384">
        <f>'1.2.sz.mell. '!C120+'1.3.sz.mell.'!C120+'1.4.sz.mell. '!C120+'1.5.sz.mell.'!C120</f>
        <v>47365869</v>
      </c>
      <c r="I120" s="386">
        <f t="shared" si="6"/>
        <v>0</v>
      </c>
    </row>
    <row r="121" spans="1:11" ht="12" customHeight="1" thickBot="1" x14ac:dyDescent="0.3">
      <c r="A121" s="15" t="s">
        <v>468</v>
      </c>
      <c r="B121" s="256" t="s">
        <v>469</v>
      </c>
      <c r="C121" s="1141">
        <f t="shared" si="7"/>
        <v>94773408</v>
      </c>
      <c r="D121" s="301">
        <f>113540838-300000-1722008-810685-253737-15000000+11503705-12184705</f>
        <v>94773408</v>
      </c>
      <c r="E121" s="280"/>
      <c r="F121" s="280"/>
      <c r="H121" s="384">
        <f>'1.2.sz.mell. '!C121+'1.3.sz.mell.'!C121+'1.4.sz.mell. '!C121+'1.5.sz.mell.'!C121</f>
        <v>94773408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308</v>
      </c>
      <c r="C122" s="435">
        <f t="shared" si="5"/>
        <v>1212226201</v>
      </c>
      <c r="D122" s="282">
        <f>+D123+D125+D127</f>
        <v>1182494795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1212226201</v>
      </c>
      <c r="I122" s="384">
        <f t="shared" si="6"/>
        <v>0</v>
      </c>
    </row>
    <row r="123" spans="1:11" ht="15" customHeight="1" thickBot="1" x14ac:dyDescent="0.3">
      <c r="A123" s="12" t="s">
        <v>105</v>
      </c>
      <c r="B123" s="5" t="s">
        <v>172</v>
      </c>
      <c r="C123" s="1141">
        <f t="shared" si="5"/>
        <v>675620518</v>
      </c>
      <c r="D123" s="1208">
        <f>654610183+580+530-539760-98930-2000000+109147+6000000+1901312-488+3102460-15870867-15125</f>
        <v>647199042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675620518</v>
      </c>
      <c r="I123" s="385">
        <f t="shared" si="6"/>
        <v>0</v>
      </c>
      <c r="K123" s="1374"/>
    </row>
    <row r="124" spans="1:11" ht="12" customHeight="1" thickBot="1" x14ac:dyDescent="0.3">
      <c r="A124" s="12" t="s">
        <v>106</v>
      </c>
      <c r="B124" s="9" t="s">
        <v>312</v>
      </c>
      <c r="C124" s="1141">
        <f t="shared" si="5"/>
        <v>577527057</v>
      </c>
      <c r="D124" s="1208">
        <f>31657596+61528400+19658504+13625846+9456548+14205118+15000000+675000+329670+4957172+59144+2074800+560196+16680000+320746696+1060000+4926102+81921456+4258963+1149920+544803+147097+580+530-539760-98930-30209788+6000000-2432050-1508756</f>
        <v>576434857</v>
      </c>
      <c r="E124" s="231"/>
      <c r="F124" s="231">
        <f>1092200</f>
        <v>1092200</v>
      </c>
      <c r="H124" s="384">
        <f>'1.2.sz.mell. '!C124+'1.3.sz.mell.'!C124+'1.4.sz.mell. '!C124+'1.5.sz.mell.'!C124</f>
        <v>577527057</v>
      </c>
      <c r="I124" s="386">
        <f t="shared" si="6"/>
        <v>0</v>
      </c>
    </row>
    <row r="125" spans="1:11" ht="12" customHeight="1" thickBot="1" x14ac:dyDescent="0.3">
      <c r="A125" s="12" t="s">
        <v>107</v>
      </c>
      <c r="B125" s="9" t="s">
        <v>152</v>
      </c>
      <c r="C125" s="1141">
        <f t="shared" si="5"/>
        <v>529726963</v>
      </c>
      <c r="D125" s="1206">
        <f>262142296-949999-256501+677185+322815+3524000+262957237</f>
        <v>528417033</v>
      </c>
      <c r="E125" s="121"/>
      <c r="F125" s="121">
        <f>600000+709930</f>
        <v>1309930</v>
      </c>
      <c r="H125" s="384">
        <f>'1.2.sz.mell. '!C125+'1.3.sz.mell.'!C125+'1.4.sz.mell. '!C125+'1.5.sz.mell.'!C125</f>
        <v>529726963</v>
      </c>
      <c r="I125" s="386">
        <f t="shared" si="6"/>
        <v>0</v>
      </c>
    </row>
    <row r="126" spans="1:11" ht="12" customHeight="1" thickBot="1" x14ac:dyDescent="0.3">
      <c r="A126" s="12" t="s">
        <v>108</v>
      </c>
      <c r="B126" s="9" t="s">
        <v>313</v>
      </c>
      <c r="C126" s="1141">
        <f t="shared" si="5"/>
        <v>285432147</v>
      </c>
      <c r="D126" s="1206">
        <f>63080502+17031736+10588708+2858952-949999-256501+193078749</f>
        <v>285432147</v>
      </c>
      <c r="E126" s="590"/>
      <c r="F126" s="267"/>
      <c r="H126" s="384">
        <f>'1.2.sz.mell. '!C126+'1.3.sz.mell.'!C126+'1.4.sz.mell. '!C126+'1.5.sz.mell.'!C126</f>
        <v>285432147</v>
      </c>
      <c r="I126" s="386">
        <f t="shared" si="6"/>
        <v>0</v>
      </c>
    </row>
    <row r="127" spans="1:11" ht="12" customHeight="1" thickBot="1" x14ac:dyDescent="0.3">
      <c r="A127" s="12" t="s">
        <v>109</v>
      </c>
      <c r="B127" s="114" t="s">
        <v>174</v>
      </c>
      <c r="C127" s="430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118</v>
      </c>
      <c r="B128" s="113" t="s">
        <v>375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120</v>
      </c>
      <c r="B129" s="189" t="s">
        <v>318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153</v>
      </c>
      <c r="B130" s="62" t="s">
        <v>301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154</v>
      </c>
      <c r="B131" s="62" t="s">
        <v>317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155</v>
      </c>
      <c r="B132" s="62" t="s">
        <v>316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309</v>
      </c>
      <c r="B133" s="62" t="s">
        <v>304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310</v>
      </c>
      <c r="B134" s="62" t="s">
        <v>315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311</v>
      </c>
      <c r="B135" s="62" t="s">
        <v>314</v>
      </c>
      <c r="C135" s="430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470</v>
      </c>
      <c r="C136" s="435">
        <f t="shared" si="5"/>
        <v>4013936595</v>
      </c>
      <c r="D136" s="282">
        <f>+D101+D122</f>
        <v>2050091632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4013936595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471</v>
      </c>
      <c r="C137" s="435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726038434</v>
      </c>
      <c r="I137" s="384">
        <f t="shared" si="6"/>
        <v>0</v>
      </c>
    </row>
    <row r="138" spans="1:9" ht="12" customHeight="1" thickBot="1" x14ac:dyDescent="0.3">
      <c r="A138" s="12" t="s">
        <v>210</v>
      </c>
      <c r="B138" s="9" t="s">
        <v>472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213</v>
      </c>
      <c r="B139" s="9" t="s">
        <v>473</v>
      </c>
      <c r="C139" s="430">
        <f>SUM(D139:F139)</f>
        <v>700000000</v>
      </c>
      <c r="D139" s="106">
        <v>700000000</v>
      </c>
      <c r="E139" s="106"/>
      <c r="F139" s="106"/>
      <c r="H139" s="384">
        <f>'1.2.sz.mell. '!C139+'1.3.sz.mell.'!C139+'1.4.sz.mell. '!C139+'1.5.sz.mell.'!C139</f>
        <v>700000000</v>
      </c>
      <c r="I139" s="386">
        <f t="shared" si="6"/>
        <v>0</v>
      </c>
    </row>
    <row r="140" spans="1:9" ht="12" customHeight="1" thickBot="1" x14ac:dyDescent="0.3">
      <c r="A140" s="10" t="s">
        <v>214</v>
      </c>
      <c r="B140" s="9" t="s">
        <v>474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475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92</v>
      </c>
      <c r="B142" s="6" t="s">
        <v>476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93</v>
      </c>
      <c r="B143" s="6" t="s">
        <v>477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94</v>
      </c>
      <c r="B144" s="6" t="s">
        <v>478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140</v>
      </c>
      <c r="B145" s="6" t="s">
        <v>479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141</v>
      </c>
      <c r="B146" s="6" t="s">
        <v>480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142</v>
      </c>
      <c r="B147" s="6" t="s">
        <v>481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482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95</v>
      </c>
      <c r="B149" s="6" t="s">
        <v>319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96</v>
      </c>
      <c r="B150" s="6" t="s">
        <v>320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233</v>
      </c>
      <c r="B151" s="6" t="s">
        <v>483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234</v>
      </c>
      <c r="B152" s="4" t="s">
        <v>338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484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97</v>
      </c>
      <c r="B154" s="6" t="s">
        <v>485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98</v>
      </c>
      <c r="B155" s="6" t="s">
        <v>486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245</v>
      </c>
      <c r="B156" s="6" t="s">
        <v>487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246</v>
      </c>
      <c r="B157" s="6" t="s">
        <v>488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489</v>
      </c>
      <c r="B158" s="6" t="s">
        <v>490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491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492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493</v>
      </c>
      <c r="C161" s="435">
        <f t="shared" si="5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771710688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494</v>
      </c>
      <c r="C162" s="435">
        <f t="shared" si="5"/>
        <v>4785647283</v>
      </c>
      <c r="D162" s="293">
        <f>+D136+D161</f>
        <v>2821802320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4785647283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54" t="s">
        <v>321</v>
      </c>
      <c r="B164" s="1454"/>
      <c r="C164" s="1454"/>
    </row>
    <row r="165" spans="1:9" ht="15" customHeight="1" thickBot="1" x14ac:dyDescent="0.3">
      <c r="A165" s="1456" t="s">
        <v>130</v>
      </c>
      <c r="B165" s="1456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991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0">
    <pageSetUpPr fitToPage="1"/>
  </sheetPr>
  <dimension ref="A1:F46"/>
  <sheetViews>
    <sheetView topLeftCell="A19"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96" t="s">
        <v>994</v>
      </c>
      <c r="B3" s="1496"/>
      <c r="C3" s="1496"/>
      <c r="D3" s="1496"/>
      <c r="E3" s="1496"/>
      <c r="F3" s="1115"/>
    </row>
    <row r="4" spans="1:6" ht="14.25" thickBot="1" x14ac:dyDescent="0.3">
      <c r="A4" s="1116"/>
      <c r="B4" s="1116"/>
      <c r="C4" s="1116"/>
      <c r="D4" s="1497" t="s">
        <v>563</v>
      </c>
      <c r="E4" s="1497"/>
      <c r="F4" s="1115"/>
    </row>
    <row r="5" spans="1:6" ht="15" customHeight="1" thickBot="1" x14ac:dyDescent="0.25">
      <c r="A5" s="1117" t="s">
        <v>603</v>
      </c>
      <c r="B5" s="1118" t="s">
        <v>875</v>
      </c>
      <c r="C5" s="1118" t="s">
        <v>812</v>
      </c>
      <c r="D5" s="1118" t="s">
        <v>876</v>
      </c>
      <c r="E5" s="1119" t="s">
        <v>53</v>
      </c>
      <c r="F5" s="1115"/>
    </row>
    <row r="6" spans="1:6" x14ac:dyDescent="0.2">
      <c r="A6" s="1120" t="s">
        <v>604</v>
      </c>
      <c r="B6" s="1121">
        <v>9291638</v>
      </c>
      <c r="C6" s="1121">
        <v>-8393400</v>
      </c>
      <c r="D6" s="1121"/>
      <c r="E6" s="1122">
        <v>898238</v>
      </c>
      <c r="F6" s="1115"/>
    </row>
    <row r="7" spans="1:6" x14ac:dyDescent="0.2">
      <c r="A7" s="1123" t="s">
        <v>605</v>
      </c>
      <c r="B7" s="1124"/>
      <c r="C7" s="1124"/>
      <c r="D7" s="1124"/>
      <c r="E7" s="1125">
        <v>0</v>
      </c>
      <c r="F7" s="1115"/>
    </row>
    <row r="8" spans="1:6" x14ac:dyDescent="0.2">
      <c r="A8" s="1126" t="s">
        <v>606</v>
      </c>
      <c r="B8" s="1127"/>
      <c r="C8" s="1128">
        <v>8393400</v>
      </c>
      <c r="D8" s="1127"/>
      <c r="E8" s="1129">
        <v>8393400</v>
      </c>
      <c r="F8" s="1115"/>
    </row>
    <row r="9" spans="1:6" x14ac:dyDescent="0.2">
      <c r="A9" s="1126" t="s">
        <v>607</v>
      </c>
      <c r="B9" s="1127"/>
      <c r="C9" s="1127"/>
      <c r="D9" s="1127"/>
      <c r="E9" s="1129">
        <v>0</v>
      </c>
      <c r="F9" s="1115"/>
    </row>
    <row r="10" spans="1:6" x14ac:dyDescent="0.2">
      <c r="A10" s="1126" t="s">
        <v>123</v>
      </c>
      <c r="B10" s="1127"/>
      <c r="C10" s="1127"/>
      <c r="D10" s="1127"/>
      <c r="E10" s="1129">
        <v>0</v>
      </c>
      <c r="F10" s="1115"/>
    </row>
    <row r="11" spans="1:6" x14ac:dyDescent="0.2">
      <c r="A11" s="1126" t="s">
        <v>608</v>
      </c>
      <c r="B11" s="1127"/>
      <c r="C11" s="1127"/>
      <c r="D11" s="1127"/>
      <c r="E11" s="1129">
        <v>0</v>
      </c>
      <c r="F11" s="1115"/>
    </row>
    <row r="12" spans="1:6" ht="13.5" thickBot="1" x14ac:dyDescent="0.25">
      <c r="A12" s="1130"/>
      <c r="B12" s="1131"/>
      <c r="C12" s="1131"/>
      <c r="D12" s="1131"/>
      <c r="E12" s="1129">
        <v>0</v>
      </c>
      <c r="F12" s="1115"/>
    </row>
    <row r="13" spans="1:6" ht="13.5" thickBot="1" x14ac:dyDescent="0.25">
      <c r="A13" s="1132" t="s">
        <v>609</v>
      </c>
      <c r="B13" s="1133">
        <v>9291638</v>
      </c>
      <c r="C13" s="1133">
        <v>0</v>
      </c>
      <c r="D13" s="1133">
        <v>0</v>
      </c>
      <c r="E13" s="1134">
        <v>9291638</v>
      </c>
      <c r="F13" s="1115"/>
    </row>
    <row r="14" spans="1:6" ht="13.5" thickBot="1" x14ac:dyDescent="0.25">
      <c r="A14" s="1135"/>
      <c r="B14" s="1135"/>
      <c r="C14" s="1135"/>
      <c r="D14" s="1135"/>
      <c r="E14" s="1135"/>
      <c r="F14" s="1115"/>
    </row>
    <row r="15" spans="1:6" ht="15" customHeight="1" thickBot="1" x14ac:dyDescent="0.25">
      <c r="A15" s="1117" t="s">
        <v>610</v>
      </c>
      <c r="B15" s="1118" t="s">
        <v>875</v>
      </c>
      <c r="C15" s="1118" t="s">
        <v>812</v>
      </c>
      <c r="D15" s="1118" t="s">
        <v>876</v>
      </c>
      <c r="E15" s="1119" t="s">
        <v>53</v>
      </c>
      <c r="F15" s="1115"/>
    </row>
    <row r="16" spans="1:6" x14ac:dyDescent="0.2">
      <c r="A16" s="1120" t="s">
        <v>611</v>
      </c>
      <c r="B16" s="1121">
        <v>110000</v>
      </c>
      <c r="C16" s="1136"/>
      <c r="D16" s="1121"/>
      <c r="E16" s="1122">
        <v>110000</v>
      </c>
      <c r="F16" s="1115"/>
    </row>
    <row r="17" spans="1:6" x14ac:dyDescent="0.2">
      <c r="A17" s="1137" t="s">
        <v>612</v>
      </c>
      <c r="B17" s="1127"/>
      <c r="C17" s="1128"/>
      <c r="D17" s="1127"/>
      <c r="E17" s="1129">
        <v>0</v>
      </c>
      <c r="F17" s="1115"/>
    </row>
    <row r="18" spans="1:6" x14ac:dyDescent="0.2">
      <c r="A18" s="1126" t="s">
        <v>613</v>
      </c>
      <c r="B18" s="1127">
        <v>9181638</v>
      </c>
      <c r="C18" s="1128"/>
      <c r="D18" s="1127"/>
      <c r="E18" s="1129">
        <v>9181638</v>
      </c>
      <c r="F18" s="1115"/>
    </row>
    <row r="19" spans="1:6" x14ac:dyDescent="0.2">
      <c r="A19" s="1126" t="s">
        <v>614</v>
      </c>
      <c r="B19" s="1127"/>
      <c r="C19" s="1127"/>
      <c r="D19" s="1127"/>
      <c r="E19" s="1129">
        <v>0</v>
      </c>
      <c r="F19" s="1115"/>
    </row>
    <row r="20" spans="1:6" x14ac:dyDescent="0.2">
      <c r="A20" s="1138" t="s">
        <v>615</v>
      </c>
      <c r="B20" s="1127"/>
      <c r="C20" s="1127"/>
      <c r="D20" s="1127"/>
      <c r="E20" s="1129">
        <v>0</v>
      </c>
      <c r="F20" s="1115"/>
    </row>
    <row r="21" spans="1:6" x14ac:dyDescent="0.2">
      <c r="A21" s="1138" t="s">
        <v>616</v>
      </c>
      <c r="B21" s="1127"/>
      <c r="C21" s="1127"/>
      <c r="D21" s="1127"/>
      <c r="E21" s="1129">
        <v>0</v>
      </c>
      <c r="F21" s="1115"/>
    </row>
    <row r="22" spans="1:6" ht="13.5" thickBot="1" x14ac:dyDescent="0.25">
      <c r="A22" s="1130"/>
      <c r="B22" s="1131"/>
      <c r="C22" s="1131"/>
      <c r="D22" s="1131"/>
      <c r="E22" s="1129">
        <v>0</v>
      </c>
      <c r="F22" s="1115"/>
    </row>
    <row r="23" spans="1:6" ht="13.5" thickBot="1" x14ac:dyDescent="0.25">
      <c r="A23" s="1132" t="s">
        <v>54</v>
      </c>
      <c r="B23" s="1133">
        <v>9291638</v>
      </c>
      <c r="C23" s="1133">
        <v>0</v>
      </c>
      <c r="D23" s="1133">
        <v>0</v>
      </c>
      <c r="E23" s="1134">
        <v>9291638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99" t="s">
        <v>1002</v>
      </c>
      <c r="B25" s="1499"/>
      <c r="C25" s="1499"/>
      <c r="D25" s="1499"/>
      <c r="E25" s="1499"/>
    </row>
    <row r="26" spans="1:6" ht="14.25" thickBot="1" x14ac:dyDescent="0.3">
      <c r="A26" s="1147"/>
      <c r="B26" s="1147"/>
      <c r="C26" s="1147"/>
      <c r="D26" s="1500" t="s">
        <v>563</v>
      </c>
      <c r="E26" s="1500"/>
    </row>
    <row r="27" spans="1:6" ht="13.5" thickBot="1" x14ac:dyDescent="0.25">
      <c r="A27" s="1148" t="s">
        <v>603</v>
      </c>
      <c r="B27" s="1149" t="s">
        <v>875</v>
      </c>
      <c r="C27" s="1149" t="s">
        <v>812</v>
      </c>
      <c r="D27" s="1149" t="s">
        <v>876</v>
      </c>
      <c r="E27" s="1150" t="s">
        <v>53</v>
      </c>
    </row>
    <row r="28" spans="1:6" x14ac:dyDescent="0.2">
      <c r="A28" s="1151" t="s">
        <v>604</v>
      </c>
      <c r="B28" s="1152"/>
      <c r="C28" s="1152"/>
      <c r="D28" s="1152"/>
      <c r="E28" s="1153">
        <f>SUM(B28:D28)</f>
        <v>0</v>
      </c>
    </row>
    <row r="29" spans="1:6" x14ac:dyDescent="0.2">
      <c r="A29" s="1154" t="s">
        <v>605</v>
      </c>
      <c r="B29" s="1155"/>
      <c r="C29" s="1155"/>
      <c r="D29" s="1155"/>
      <c r="E29" s="1156">
        <f t="shared" ref="E29:E34" si="0">SUM(B29:D29)</f>
        <v>0</v>
      </c>
    </row>
    <row r="30" spans="1:6" x14ac:dyDescent="0.2">
      <c r="A30" s="1157" t="s">
        <v>606</v>
      </c>
      <c r="B30" s="525"/>
      <c r="C30" s="525">
        <v>6000000</v>
      </c>
      <c r="D30" s="525"/>
      <c r="E30" s="1158">
        <f t="shared" si="0"/>
        <v>6000000</v>
      </c>
    </row>
    <row r="31" spans="1:6" x14ac:dyDescent="0.2">
      <c r="A31" s="1157" t="s">
        <v>607</v>
      </c>
      <c r="B31" s="525"/>
      <c r="C31" s="525"/>
      <c r="D31" s="525"/>
      <c r="E31" s="1158">
        <f t="shared" si="0"/>
        <v>0</v>
      </c>
    </row>
    <row r="32" spans="1:6" x14ac:dyDescent="0.2">
      <c r="A32" s="1157" t="s">
        <v>123</v>
      </c>
      <c r="B32" s="525"/>
      <c r="C32" s="525"/>
      <c r="D32" s="525"/>
      <c r="E32" s="1158">
        <f t="shared" si="0"/>
        <v>0</v>
      </c>
    </row>
    <row r="33" spans="1:5" x14ac:dyDescent="0.2">
      <c r="A33" s="1157" t="s">
        <v>608</v>
      </c>
      <c r="B33" s="525"/>
      <c r="C33" s="525"/>
      <c r="D33" s="525"/>
      <c r="E33" s="1158">
        <f t="shared" si="0"/>
        <v>0</v>
      </c>
    </row>
    <row r="34" spans="1:5" ht="13.5" thickBot="1" x14ac:dyDescent="0.25">
      <c r="A34" s="1159"/>
      <c r="B34" s="1160"/>
      <c r="C34" s="1160"/>
      <c r="D34" s="1160"/>
      <c r="E34" s="1158">
        <f t="shared" si="0"/>
        <v>0</v>
      </c>
    </row>
    <row r="35" spans="1:5" ht="13.5" thickBot="1" x14ac:dyDescent="0.25">
      <c r="A35" s="1161" t="s">
        <v>609</v>
      </c>
      <c r="B35" s="1162">
        <f>SUM(B28:B34)</f>
        <v>0</v>
      </c>
      <c r="C35" s="1162">
        <f>SUM(C28:C34)</f>
        <v>6000000</v>
      </c>
      <c r="D35" s="1162">
        <f>SUM(D28:D34)</f>
        <v>0</v>
      </c>
      <c r="E35" s="1163">
        <f>SUM(E28:E34)</f>
        <v>6000000</v>
      </c>
    </row>
    <row r="36" spans="1:5" ht="13.5" thickBot="1" x14ac:dyDescent="0.25">
      <c r="A36" s="1164"/>
      <c r="B36" s="1164"/>
      <c r="C36" s="1164"/>
      <c r="D36" s="1164"/>
      <c r="E36" s="1164"/>
    </row>
    <row r="37" spans="1:5" ht="13.5" thickBot="1" x14ac:dyDescent="0.25">
      <c r="A37" s="1148" t="s">
        <v>610</v>
      </c>
      <c r="B37" s="1149" t="s">
        <v>875</v>
      </c>
      <c r="C37" s="1149" t="s">
        <v>812</v>
      </c>
      <c r="D37" s="1149" t="s">
        <v>876</v>
      </c>
      <c r="E37" s="1150" t="s">
        <v>53</v>
      </c>
    </row>
    <row r="38" spans="1:5" x14ac:dyDescent="0.2">
      <c r="A38" s="1151" t="s">
        <v>611</v>
      </c>
      <c r="B38" s="1152"/>
      <c r="C38" s="1152"/>
      <c r="D38" s="1152"/>
      <c r="E38" s="1153">
        <f>SUM(B38:D38)</f>
        <v>0</v>
      </c>
    </row>
    <row r="39" spans="1:5" x14ac:dyDescent="0.2">
      <c r="A39" s="1165" t="s">
        <v>612</v>
      </c>
      <c r="B39" s="525"/>
      <c r="C39" s="525">
        <v>6000000</v>
      </c>
      <c r="D39" s="525"/>
      <c r="E39" s="1158">
        <f t="shared" ref="E39:E44" si="1">SUM(B39:D39)</f>
        <v>6000000</v>
      </c>
    </row>
    <row r="40" spans="1:5" x14ac:dyDescent="0.2">
      <c r="A40" s="1157" t="s">
        <v>613</v>
      </c>
      <c r="B40" s="525"/>
      <c r="C40" s="525"/>
      <c r="D40" s="525"/>
      <c r="E40" s="1158">
        <f t="shared" si="1"/>
        <v>0</v>
      </c>
    </row>
    <row r="41" spans="1:5" x14ac:dyDescent="0.2">
      <c r="A41" s="1157" t="s">
        <v>614</v>
      </c>
      <c r="B41" s="525"/>
      <c r="C41" s="525"/>
      <c r="D41" s="525"/>
      <c r="E41" s="1158">
        <f t="shared" si="1"/>
        <v>0</v>
      </c>
    </row>
    <row r="42" spans="1:5" x14ac:dyDescent="0.2">
      <c r="A42" s="1166" t="s">
        <v>615</v>
      </c>
      <c r="B42" s="525"/>
      <c r="C42" s="525"/>
      <c r="D42" s="525"/>
      <c r="E42" s="1158">
        <f t="shared" si="1"/>
        <v>0</v>
      </c>
    </row>
    <row r="43" spans="1:5" x14ac:dyDescent="0.2">
      <c r="A43" s="1166" t="s">
        <v>616</v>
      </c>
      <c r="B43" s="525"/>
      <c r="C43" s="525"/>
      <c r="D43" s="525"/>
      <c r="E43" s="1158">
        <f t="shared" si="1"/>
        <v>0</v>
      </c>
    </row>
    <row r="44" spans="1:5" ht="13.5" thickBot="1" x14ac:dyDescent="0.25">
      <c r="A44" s="1159"/>
      <c r="B44" s="1160"/>
      <c r="C44" s="1160"/>
      <c r="D44" s="1160"/>
      <c r="E44" s="1158">
        <f t="shared" si="1"/>
        <v>0</v>
      </c>
    </row>
    <row r="45" spans="1:5" ht="13.5" thickBot="1" x14ac:dyDescent="0.25">
      <c r="A45" s="1161" t="s">
        <v>54</v>
      </c>
      <c r="B45" s="1162">
        <f>SUM(B38:B44)</f>
        <v>0</v>
      </c>
      <c r="C45" s="1162">
        <f>SUM(C38:C44)</f>
        <v>6000000</v>
      </c>
      <c r="D45" s="1162">
        <f>SUM(D38:D44)</f>
        <v>0</v>
      </c>
      <c r="E45" s="1163">
        <f>SUM(E38:E44)</f>
        <v>6000000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45:E45 E38:E44 B35:D35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F46"/>
  <sheetViews>
    <sheetView zoomScaleSheetLayoutView="85" workbookViewId="0">
      <selection activeCell="H19" sqref="H19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CONCATENATE("11. melléklet ",ALAPADATOK!A7," ",ALAPADATOK!B7," ",ALAPADATOK!C7," ",ALAPADATOK!D7," ",ALAPADATOK!E7," ",ALAPADATOK!F7," ",ALAPADATOK!G7," ",ALAPADATOK!H7)</f>
        <v>11. melléklet a  / 2020. ( 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54.75" customHeight="1" x14ac:dyDescent="0.25">
      <c r="A3" s="1501" t="s">
        <v>1047</v>
      </c>
      <c r="B3" s="1501"/>
      <c r="C3" s="1501"/>
      <c r="D3" s="1501"/>
      <c r="E3" s="1501"/>
      <c r="F3" s="1115"/>
    </row>
    <row r="4" spans="1:6" ht="14.25" thickBot="1" x14ac:dyDescent="0.3">
      <c r="A4" s="1147"/>
      <c r="B4" s="1147"/>
      <c r="C4" s="1147"/>
      <c r="D4" s="1500" t="s">
        <v>563</v>
      </c>
      <c r="E4" s="1500"/>
      <c r="F4" s="1115"/>
    </row>
    <row r="5" spans="1:6" ht="15" customHeight="1" thickBot="1" x14ac:dyDescent="0.25">
      <c r="A5" s="1148" t="s">
        <v>603</v>
      </c>
      <c r="B5" s="1149" t="s">
        <v>875</v>
      </c>
      <c r="C5" s="1149" t="s">
        <v>812</v>
      </c>
      <c r="D5" s="1149" t="s">
        <v>876</v>
      </c>
      <c r="E5" s="1150" t="s">
        <v>53</v>
      </c>
      <c r="F5" s="1115"/>
    </row>
    <row r="6" spans="1:6" x14ac:dyDescent="0.2">
      <c r="A6" s="1151" t="s">
        <v>604</v>
      </c>
      <c r="B6" s="1152"/>
      <c r="C6" s="1152"/>
      <c r="D6" s="1152"/>
      <c r="E6" s="1153">
        <f>SUM(B6:D6)</f>
        <v>0</v>
      </c>
      <c r="F6" s="1115"/>
    </row>
    <row r="7" spans="1:6" x14ac:dyDescent="0.2">
      <c r="A7" s="1154" t="s">
        <v>605</v>
      </c>
      <c r="B7" s="1155"/>
      <c r="C7" s="1155"/>
      <c r="D7" s="1155"/>
      <c r="E7" s="1156">
        <f t="shared" ref="E7:E12" si="0">SUM(B7:D7)</f>
        <v>0</v>
      </c>
      <c r="F7" s="1115"/>
    </row>
    <row r="8" spans="1:6" x14ac:dyDescent="0.2">
      <c r="A8" s="1157" t="s">
        <v>606</v>
      </c>
      <c r="B8" s="525"/>
      <c r="C8" s="525">
        <f>2763895+202109846</f>
        <v>204873741</v>
      </c>
      <c r="D8" s="525"/>
      <c r="E8" s="1158">
        <f t="shared" si="0"/>
        <v>204873741</v>
      </c>
      <c r="F8" s="1115"/>
    </row>
    <row r="9" spans="1:6" x14ac:dyDescent="0.2">
      <c r="A9" s="1157" t="s">
        <v>607</v>
      </c>
      <c r="B9" s="525"/>
      <c r="C9" s="525">
        <f>341605+24979870</f>
        <v>25321475</v>
      </c>
      <c r="D9" s="525"/>
      <c r="E9" s="1158">
        <f t="shared" si="0"/>
        <v>25321475</v>
      </c>
      <c r="F9" s="1115"/>
    </row>
    <row r="10" spans="1:6" x14ac:dyDescent="0.2">
      <c r="A10" s="1157" t="s">
        <v>123</v>
      </c>
      <c r="B10" s="525"/>
      <c r="C10" s="525"/>
      <c r="D10" s="525"/>
      <c r="E10" s="1158">
        <f t="shared" si="0"/>
        <v>0</v>
      </c>
      <c r="F10" s="1115"/>
    </row>
    <row r="11" spans="1:6" x14ac:dyDescent="0.2">
      <c r="A11" s="1157" t="s">
        <v>608</v>
      </c>
      <c r="B11" s="525"/>
      <c r="C11" s="525"/>
      <c r="D11" s="525"/>
      <c r="E11" s="1158">
        <f t="shared" si="0"/>
        <v>0</v>
      </c>
      <c r="F11" s="1115"/>
    </row>
    <row r="12" spans="1:6" ht="13.5" thickBot="1" x14ac:dyDescent="0.25">
      <c r="A12" s="1159"/>
      <c r="B12" s="1160"/>
      <c r="C12" s="1160"/>
      <c r="D12" s="1160"/>
      <c r="E12" s="1158">
        <f t="shared" si="0"/>
        <v>0</v>
      </c>
      <c r="F12" s="1115"/>
    </row>
    <row r="13" spans="1:6" ht="13.5" thickBot="1" x14ac:dyDescent="0.25">
      <c r="A13" s="1161" t="s">
        <v>609</v>
      </c>
      <c r="B13" s="1162">
        <f>SUM(B6:B12)</f>
        <v>0</v>
      </c>
      <c r="C13" s="1162">
        <f>SUM(C6:C12)</f>
        <v>230195216</v>
      </c>
      <c r="D13" s="1162">
        <f>SUM(D6:D12)</f>
        <v>0</v>
      </c>
      <c r="E13" s="1163">
        <f>SUM(E6:E12)</f>
        <v>230195216</v>
      </c>
      <c r="F13" s="1115"/>
    </row>
    <row r="14" spans="1:6" ht="13.5" thickBot="1" x14ac:dyDescent="0.25">
      <c r="A14" s="1164"/>
      <c r="B14" s="1164"/>
      <c r="C14" s="1164"/>
      <c r="D14" s="1164"/>
      <c r="E14" s="1164"/>
      <c r="F14" s="1115"/>
    </row>
    <row r="15" spans="1:6" ht="15" customHeight="1" thickBot="1" x14ac:dyDescent="0.25">
      <c r="A15" s="1148" t="s">
        <v>610</v>
      </c>
      <c r="B15" s="1149" t="s">
        <v>875</v>
      </c>
      <c r="C15" s="1149" t="s">
        <v>812</v>
      </c>
      <c r="D15" s="1149" t="s">
        <v>876</v>
      </c>
      <c r="E15" s="1150" t="s">
        <v>53</v>
      </c>
      <c r="F15" s="1115"/>
    </row>
    <row r="16" spans="1:6" x14ac:dyDescent="0.2">
      <c r="A16" s="1151" t="s">
        <v>611</v>
      </c>
      <c r="B16" s="1152"/>
      <c r="C16" s="1152"/>
      <c r="D16" s="1152"/>
      <c r="E16" s="1153">
        <f>SUM(B16:D16)</f>
        <v>0</v>
      </c>
      <c r="F16" s="1115"/>
    </row>
    <row r="17" spans="1:6" x14ac:dyDescent="0.2">
      <c r="A17" s="1165" t="s">
        <v>612</v>
      </c>
      <c r="B17" s="525">
        <f>444500</f>
        <v>444500</v>
      </c>
      <c r="C17" s="525">
        <f>7990000+2157300+170901800+46040616</f>
        <v>227089716</v>
      </c>
      <c r="D17" s="525"/>
      <c r="E17" s="1158">
        <f t="shared" ref="E17:E22" si="1">SUM(B17:D17)</f>
        <v>227534216</v>
      </c>
      <c r="F17" s="1115"/>
    </row>
    <row r="18" spans="1:6" x14ac:dyDescent="0.2">
      <c r="A18" s="1157" t="s">
        <v>613</v>
      </c>
      <c r="B18" s="525"/>
      <c r="C18" s="525">
        <f>2286000+375000</f>
        <v>2661000</v>
      </c>
      <c r="D18" s="525"/>
      <c r="E18" s="1158">
        <f t="shared" si="1"/>
        <v>2661000</v>
      </c>
      <c r="F18" s="1115"/>
    </row>
    <row r="19" spans="1:6" x14ac:dyDescent="0.2">
      <c r="A19" s="1157" t="s">
        <v>614</v>
      </c>
      <c r="B19" s="525"/>
      <c r="C19" s="525"/>
      <c r="D19" s="525"/>
      <c r="E19" s="1158">
        <f t="shared" si="1"/>
        <v>0</v>
      </c>
      <c r="F19" s="1115"/>
    </row>
    <row r="20" spans="1:6" x14ac:dyDescent="0.2">
      <c r="A20" s="1166" t="s">
        <v>615</v>
      </c>
      <c r="B20" s="525"/>
      <c r="C20" s="525"/>
      <c r="D20" s="525"/>
      <c r="E20" s="1158">
        <f t="shared" si="1"/>
        <v>0</v>
      </c>
      <c r="F20" s="1115"/>
    </row>
    <row r="21" spans="1:6" x14ac:dyDescent="0.2">
      <c r="A21" s="1166" t="s">
        <v>616</v>
      </c>
      <c r="B21" s="525"/>
      <c r="C21" s="525"/>
      <c r="D21" s="525"/>
      <c r="E21" s="1158">
        <f t="shared" si="1"/>
        <v>0</v>
      </c>
      <c r="F21" s="1115"/>
    </row>
    <row r="22" spans="1:6" ht="13.5" thickBot="1" x14ac:dyDescent="0.25">
      <c r="A22" s="1159"/>
      <c r="B22" s="1160"/>
      <c r="C22" s="1160"/>
      <c r="D22" s="1160"/>
      <c r="E22" s="1158">
        <f t="shared" si="1"/>
        <v>0</v>
      </c>
      <c r="F22" s="1115"/>
    </row>
    <row r="23" spans="1:6" ht="13.5" thickBot="1" x14ac:dyDescent="0.25">
      <c r="A23" s="1161" t="s">
        <v>54</v>
      </c>
      <c r="B23" s="1162">
        <f>SUM(B16:B22)</f>
        <v>444500</v>
      </c>
      <c r="C23" s="1162">
        <f>SUM(C16:C22)</f>
        <v>229750716</v>
      </c>
      <c r="D23" s="1162">
        <f>SUM(D16:D22)</f>
        <v>0</v>
      </c>
      <c r="E23" s="1163">
        <f>SUM(E16:E22)</f>
        <v>230195216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502" t="s">
        <v>1046</v>
      </c>
      <c r="B25" s="1502"/>
      <c r="C25" s="1502"/>
      <c r="D25" s="1502"/>
      <c r="E25" s="1502"/>
    </row>
    <row r="26" spans="1:6" ht="14.25" thickBot="1" x14ac:dyDescent="0.3">
      <c r="A26" s="974"/>
      <c r="B26" s="974"/>
      <c r="C26" s="974"/>
      <c r="D26" s="1495" t="s">
        <v>563</v>
      </c>
      <c r="E26" s="1495"/>
    </row>
    <row r="27" spans="1:6" ht="13.5" thickBot="1" x14ac:dyDescent="0.25">
      <c r="A27" s="1022" t="s">
        <v>603</v>
      </c>
      <c r="B27" s="1023" t="s">
        <v>875</v>
      </c>
      <c r="C27" s="1023" t="s">
        <v>812</v>
      </c>
      <c r="D27" s="1023" t="s">
        <v>876</v>
      </c>
      <c r="E27" s="1024" t="s">
        <v>53</v>
      </c>
    </row>
    <row r="28" spans="1:6" x14ac:dyDescent="0.2">
      <c r="A28" s="975" t="s">
        <v>604</v>
      </c>
      <c r="B28" s="976"/>
      <c r="C28" s="976"/>
      <c r="D28" s="976"/>
      <c r="E28" s="977">
        <f>SUM(B28:D28)</f>
        <v>0</v>
      </c>
    </row>
    <row r="29" spans="1:6" x14ac:dyDescent="0.2">
      <c r="A29" s="978" t="s">
        <v>605</v>
      </c>
      <c r="B29" s="979"/>
      <c r="C29" s="979"/>
      <c r="D29" s="979"/>
      <c r="E29" s="980">
        <f t="shared" ref="E29:E34" si="2">SUM(B29:D29)</f>
        <v>0</v>
      </c>
    </row>
    <row r="30" spans="1:6" x14ac:dyDescent="0.2">
      <c r="A30" s="981" t="s">
        <v>606</v>
      </c>
      <c r="B30" s="1034"/>
      <c r="C30" s="1034"/>
      <c r="D30" s="1034"/>
      <c r="E30" s="1035">
        <f t="shared" si="2"/>
        <v>0</v>
      </c>
    </row>
    <row r="31" spans="1:6" x14ac:dyDescent="0.2">
      <c r="A31" s="981" t="s">
        <v>607</v>
      </c>
      <c r="B31" s="1034"/>
      <c r="C31" s="1034"/>
      <c r="D31" s="1034"/>
      <c r="E31" s="1035">
        <f t="shared" si="2"/>
        <v>0</v>
      </c>
    </row>
    <row r="32" spans="1:6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608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609</v>
      </c>
      <c r="B35" s="1026">
        <f>SUM(B28:B34)</f>
        <v>0</v>
      </c>
      <c r="C35" s="1026">
        <f>SUM(C28:C34)</f>
        <v>0</v>
      </c>
      <c r="D35" s="1026">
        <f>SUM(D28:D34)</f>
        <v>0</v>
      </c>
      <c r="E35" s="1027">
        <f>SUM(E28:E34)</f>
        <v>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610</v>
      </c>
      <c r="B37" s="1023" t="s">
        <v>875</v>
      </c>
      <c r="C37" s="1023" t="s">
        <v>812</v>
      </c>
      <c r="D37" s="1023" t="s">
        <v>876</v>
      </c>
      <c r="E37" s="1024" t="s">
        <v>53</v>
      </c>
    </row>
    <row r="38" spans="1:5" x14ac:dyDescent="0.2">
      <c r="A38" s="975" t="s">
        <v>611</v>
      </c>
      <c r="B38" s="976"/>
      <c r="C38" s="976"/>
      <c r="D38" s="976"/>
      <c r="E38" s="977">
        <f>SUM(B38:D38)</f>
        <v>0</v>
      </c>
    </row>
    <row r="39" spans="1:5" x14ac:dyDescent="0.2">
      <c r="A39" s="984" t="s">
        <v>612</v>
      </c>
      <c r="B39" s="1034"/>
      <c r="C39" s="1034"/>
      <c r="D39" s="1034"/>
      <c r="E39" s="1035">
        <f t="shared" ref="E39:E44" si="3">SUM(B39:D39)</f>
        <v>0</v>
      </c>
    </row>
    <row r="40" spans="1:5" x14ac:dyDescent="0.2">
      <c r="A40" s="981" t="s">
        <v>613</v>
      </c>
      <c r="B40" s="1034"/>
      <c r="C40" s="1034"/>
      <c r="D40" s="1034"/>
      <c r="E40" s="1035">
        <f t="shared" si="3"/>
        <v>0</v>
      </c>
    </row>
    <row r="41" spans="1:5" x14ac:dyDescent="0.2">
      <c r="A41" s="981" t="s">
        <v>614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615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616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0</v>
      </c>
      <c r="D45" s="1026">
        <f>SUM(D38:D44)</f>
        <v>0</v>
      </c>
      <c r="E45" s="1027">
        <f>SUM(E38:E44)</f>
        <v>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45:E45 E38:E44 B35:D35">
    <cfRule type="cellIs" dxfId="2" priority="2" stopIfTrue="1" operator="equal">
      <formula>0</formula>
    </cfRule>
  </conditionalFormatting>
  <conditionalFormatting sqref="E6:E13 B23:E23 E16:E22 B13:D13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1"/>
  <dimension ref="A1:G160"/>
  <sheetViews>
    <sheetView zoomScale="115" zoomScaleNormal="115" zoomScaleSheetLayoutView="85" workbookViewId="0">
      <selection activeCell="K17" sqref="K17"/>
    </sheetView>
  </sheetViews>
  <sheetFormatPr defaultRowHeight="12.75" x14ac:dyDescent="0.2"/>
  <cols>
    <col min="1" max="1" width="19.5" style="1170" customWidth="1"/>
    <col min="2" max="2" width="72" style="398" customWidth="1"/>
    <col min="3" max="3" width="25" style="364" customWidth="1"/>
    <col min="4" max="4" width="16.6640625" style="1018" hidden="1" customWidth="1"/>
    <col min="5" max="5" width="11.83203125" style="1018" hidden="1" customWidth="1"/>
    <col min="6" max="6" width="11.83203125" style="1017" hidden="1" customWidth="1"/>
    <col min="7" max="16384" width="9.33203125" style="1006"/>
  </cols>
  <sheetData>
    <row r="1" spans="1:6" x14ac:dyDescent="0.2">
      <c r="A1" s="1503" t="str">
        <f>CONCATENATE("12. melléklet"," ",ALAPADATOK!A7," ",ALAPADATOK!B7," ",ALAPADATOK!C7," ",ALAPADATOK!D7," ",ALAPADATOK!E7," ",ALAPADATOK!F7," ",ALAPADATOK!G7," ",ALAPADATOK!H7)</f>
        <v>12. melléklet a  / 2020. (  ) önkormányzati rendelethez</v>
      </c>
      <c r="B1" s="1503"/>
      <c r="C1" s="1503"/>
    </row>
    <row r="2" spans="1:6" s="1" customFormat="1" ht="16.5" customHeight="1" thickBot="1" x14ac:dyDescent="0.25">
      <c r="A2" s="1167"/>
      <c r="B2" s="82"/>
      <c r="C2" s="104"/>
      <c r="D2" s="1018"/>
      <c r="E2" s="1018"/>
      <c r="F2" s="1017"/>
    </row>
    <row r="3" spans="1:6" s="39" customFormat="1" ht="21" customHeight="1" x14ac:dyDescent="0.2">
      <c r="A3" s="183" t="s">
        <v>64</v>
      </c>
      <c r="B3" s="162" t="s">
        <v>169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68" t="s">
        <v>165</v>
      </c>
      <c r="B4" s="163" t="s">
        <v>346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69"/>
      <c r="B5" s="84"/>
      <c r="C5" s="85" t="s">
        <v>554</v>
      </c>
      <c r="D5" s="390"/>
      <c r="E5" s="390"/>
      <c r="F5" s="389"/>
    </row>
    <row r="6" spans="1:6" ht="13.5" thickBot="1" x14ac:dyDescent="0.25">
      <c r="A6" s="184" t="s">
        <v>167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1018"/>
      <c r="E7" s="1018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18"/>
      <c r="E8" s="1018"/>
      <c r="F8" s="391"/>
    </row>
    <row r="9" spans="1:6" s="33" customFormat="1" ht="12" customHeight="1" thickBot="1" x14ac:dyDescent="0.25">
      <c r="A9" s="25" t="s">
        <v>21</v>
      </c>
      <c r="B9" s="18" t="s">
        <v>194</v>
      </c>
      <c r="C9" s="282">
        <f>C10+C11+C12+C15+C16+C17</f>
        <v>1492762052</v>
      </c>
      <c r="D9" s="392">
        <f>'9.1.1. sz. mell. '!C9+'9.1.2. sz. mell.'!C9</f>
        <v>1492762052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99</v>
      </c>
      <c r="B10" s="193" t="s">
        <v>195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100</v>
      </c>
      <c r="B11" s="194" t="s">
        <v>196</v>
      </c>
      <c r="C11" s="1205">
        <f>229603230+17312349</f>
        <v>246915579</v>
      </c>
      <c r="D11" s="392">
        <f>'9.1.1. sz. mell. '!C11+'9.1.2. sz. mell.'!C11</f>
        <v>246915579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101</v>
      </c>
      <c r="B12" s="194" t="s">
        <v>998</v>
      </c>
      <c r="C12" s="1205">
        <f>SUM(C13:C14)</f>
        <v>815989004</v>
      </c>
      <c r="D12" s="392">
        <f>'9.1.1. sz. mell. '!C12+'9.1.2. sz. mell.'!C12</f>
        <v>815989004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996</v>
      </c>
      <c r="B13" s="194" t="s">
        <v>999</v>
      </c>
      <c r="C13" s="1205">
        <f>599025462+22559700+4495800</f>
        <v>626080962</v>
      </c>
      <c r="D13" s="392">
        <f>'9.1.1. sz. mell. '!C13+'9.1.2. sz. mell.'!C13</f>
        <v>626080962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997</v>
      </c>
      <c r="B14" s="194" t="s">
        <v>1000</v>
      </c>
      <c r="C14" s="1205">
        <f>186127562+3780480</f>
        <v>189908042</v>
      </c>
      <c r="D14" s="392">
        <f>'9.1.1. sz. mell. '!C14+'9.1.2. sz. mell.'!C14</f>
        <v>189908042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102</v>
      </c>
      <c r="B15" s="194" t="s">
        <v>198</v>
      </c>
      <c r="C15" s="1205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125</v>
      </c>
      <c r="B16" s="194" t="s">
        <v>507</v>
      </c>
      <c r="C16" s="1205">
        <f>159215979+899997-27567700</f>
        <v>132548276</v>
      </c>
      <c r="D16" s="392">
        <f>'9.1.1. sz. mell. '!C16+'9.1.2. sz. mell.'!C16</f>
        <v>132548276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103</v>
      </c>
      <c r="B17" s="195" t="s">
        <v>450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226388565</v>
      </c>
      <c r="D18" s="392">
        <f>'9.1.1. sz. mell. '!C18+'9.1.2. sz. mell.'!C18</f>
        <v>226388565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105</v>
      </c>
      <c r="B19" s="193" t="s">
        <v>200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106</v>
      </c>
      <c r="B20" s="194" t="s">
        <v>201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107</v>
      </c>
      <c r="B21" s="194" t="s">
        <v>369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108</v>
      </c>
      <c r="B22" s="194" t="s">
        <v>370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109</v>
      </c>
      <c r="B23" s="194" t="s">
        <v>202</v>
      </c>
      <c r="C23" s="1213">
        <f>232919558+3068252+557865-13262610+3105500</f>
        <v>226388565</v>
      </c>
      <c r="D23" s="392">
        <f>'9.1.1. sz. mell. '!C23+'9.1.2. sz. mell.'!C23</f>
        <v>226388565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118</v>
      </c>
      <c r="B24" s="195" t="s">
        <v>203</v>
      </c>
      <c r="C24" s="1216">
        <f>16392698+36497760+62436432-13262610+2763895</f>
        <v>104828175</v>
      </c>
      <c r="D24" s="392">
        <f>'9.1.1. sz. mell. '!C24+'9.1.2. sz. mell.'!C24</f>
        <v>104828175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301244816</v>
      </c>
      <c r="D25" s="392">
        <f>'9.1.1. sz. mell. '!C25+'9.1.2. sz. mell.'!C25</f>
        <v>301244816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88</v>
      </c>
      <c r="B26" s="193" t="s">
        <v>205</v>
      </c>
      <c r="C26" s="1218">
        <v>34511116</v>
      </c>
      <c r="D26" s="392">
        <f>'9.1.1. sz. mell. '!C26+'9.1.2. sz. mell.'!C26</f>
        <v>34511116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89</v>
      </c>
      <c r="B27" s="194" t="s">
        <v>206</v>
      </c>
      <c r="C27" s="1206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90</v>
      </c>
      <c r="B28" s="194" t="s">
        <v>371</v>
      </c>
      <c r="C28" s="1206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91</v>
      </c>
      <c r="B29" s="194" t="s">
        <v>372</v>
      </c>
      <c r="C29" s="1206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136</v>
      </c>
      <c r="B30" s="194" t="s">
        <v>207</v>
      </c>
      <c r="C30" s="1213">
        <f>36977634+5200000-2533650+227089716</f>
        <v>266733700</v>
      </c>
      <c r="D30" s="392">
        <f>'9.1.1. sz. mell. '!C30+'9.1.2. sz. mell.'!C30</f>
        <v>266733700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137</v>
      </c>
      <c r="B31" s="195" t="s">
        <v>208</v>
      </c>
      <c r="C31" s="1216">
        <f>36977634-2533650+202109846</f>
        <v>236553830</v>
      </c>
      <c r="D31" s="392">
        <f>'9.1.1. sz. mell. '!C31+'9.1.2. sz. mell.'!C31</f>
        <v>236553830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138</v>
      </c>
      <c r="B32" s="18" t="s">
        <v>655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210</v>
      </c>
      <c r="B33" s="193" t="s">
        <v>651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211</v>
      </c>
      <c r="B34" s="194" t="s">
        <v>216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212</v>
      </c>
      <c r="B35" s="251" t="s">
        <v>650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213</v>
      </c>
      <c r="B36" s="194" t="s">
        <v>537</v>
      </c>
      <c r="C36" s="1206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538</v>
      </c>
      <c r="B37" s="194" t="s">
        <v>217</v>
      </c>
      <c r="C37" s="1213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215</v>
      </c>
      <c r="B38" s="194" t="s">
        <v>218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539</v>
      </c>
      <c r="B39" s="195" t="s">
        <v>219</v>
      </c>
      <c r="C39" s="1207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451</v>
      </c>
      <c r="C40" s="282">
        <f>SUM(C41:C51)</f>
        <v>49402421</v>
      </c>
      <c r="D40" s="392">
        <f>'9.1.1. sz. mell. '!C40+'9.1.2. sz. mell.'!C40</f>
        <v>49402421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92</v>
      </c>
      <c r="B41" s="193" t="s">
        <v>222</v>
      </c>
      <c r="C41" s="1208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93</v>
      </c>
      <c r="B42" s="194" t="s">
        <v>223</v>
      </c>
      <c r="C42" s="1206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94</v>
      </c>
      <c r="B43" s="194" t="s">
        <v>224</v>
      </c>
      <c r="C43" s="1206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140</v>
      </c>
      <c r="B44" s="194" t="s">
        <v>225</v>
      </c>
      <c r="C44" s="1206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141</v>
      </c>
      <c r="B45" s="194" t="s">
        <v>226</v>
      </c>
      <c r="C45" s="1206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142</v>
      </c>
      <c r="B46" s="194" t="s">
        <v>227</v>
      </c>
      <c r="C46" s="1206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143</v>
      </c>
      <c r="B47" s="194" t="s">
        <v>228</v>
      </c>
      <c r="C47" s="1206"/>
      <c r="D47" s="392">
        <f>'9.1.1. sz. mell. '!C47+'9.1.2. sz. mell.'!C47</f>
        <v>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144</v>
      </c>
      <c r="B48" s="194" t="s">
        <v>229</v>
      </c>
      <c r="C48" s="1206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220</v>
      </c>
      <c r="B49" s="194" t="s">
        <v>230</v>
      </c>
      <c r="C49" s="1206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221</v>
      </c>
      <c r="B50" s="195" t="s">
        <v>452</v>
      </c>
      <c r="C50" s="1207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453</v>
      </c>
      <c r="B51" s="195" t="s">
        <v>231</v>
      </c>
      <c r="C51" s="1207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95</v>
      </c>
      <c r="B53" s="193" t="s">
        <v>236</v>
      </c>
      <c r="C53" s="1208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96</v>
      </c>
      <c r="B54" s="194" t="s">
        <v>237</v>
      </c>
      <c r="C54" s="1206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233</v>
      </c>
      <c r="B55" s="194" t="s">
        <v>238</v>
      </c>
      <c r="C55" s="1206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234</v>
      </c>
      <c r="B56" s="194" t="s">
        <v>239</v>
      </c>
      <c r="C56" s="1206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235</v>
      </c>
      <c r="B57" s="195" t="s">
        <v>240</v>
      </c>
      <c r="C57" s="1207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145</v>
      </c>
      <c r="B58" s="18" t="s">
        <v>241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97</v>
      </c>
      <c r="B59" s="193" t="s">
        <v>242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98</v>
      </c>
      <c r="B60" s="194" t="s">
        <v>373</v>
      </c>
      <c r="C60" s="1206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245</v>
      </c>
      <c r="B61" s="194" t="s">
        <v>243</v>
      </c>
      <c r="C61" s="1206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246</v>
      </c>
      <c r="B62" s="195" t="s">
        <v>244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146</v>
      </c>
      <c r="B64" s="193" t="s">
        <v>249</v>
      </c>
      <c r="C64" s="1206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147</v>
      </c>
      <c r="B65" s="194" t="s">
        <v>374</v>
      </c>
      <c r="C65" s="1206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173</v>
      </c>
      <c r="B66" s="194" t="s">
        <v>250</v>
      </c>
      <c r="C66" s="1206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248</v>
      </c>
      <c r="B67" s="195" t="s">
        <v>251</v>
      </c>
      <c r="C67" s="1206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2625311362</v>
      </c>
      <c r="D68" s="392">
        <f>'9.1.1. sz. mell. '!C68+'9.1.2. sz. mell.'!C68</f>
        <v>2625311362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342</v>
      </c>
      <c r="B69" s="112" t="s">
        <v>254</v>
      </c>
      <c r="C69" s="282">
        <f>SUM(C70:C72)</f>
        <v>733570614</v>
      </c>
      <c r="D69" s="392">
        <f>'9.1.1. sz. mell. '!C69+'9.1.2. sz. mell.'!C69</f>
        <v>733570614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285</v>
      </c>
      <c r="B70" s="193" t="s">
        <v>255</v>
      </c>
      <c r="C70" s="1206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294</v>
      </c>
      <c r="B71" s="194" t="s">
        <v>256</v>
      </c>
      <c r="C71" s="1206">
        <v>700000000</v>
      </c>
      <c r="D71" s="392">
        <f>'9.1.1. sz. mell. '!C71+'9.1.2. sz. mell.'!C71</f>
        <v>700000000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295</v>
      </c>
      <c r="B72" s="196" t="s">
        <v>257</v>
      </c>
      <c r="C72" s="1206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126</v>
      </c>
      <c r="B74" s="193" t="s">
        <v>260</v>
      </c>
      <c r="C74" s="1206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127</v>
      </c>
      <c r="B75" s="194" t="s">
        <v>261</v>
      </c>
      <c r="C75" s="1206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286</v>
      </c>
      <c r="B76" s="194" t="s">
        <v>262</v>
      </c>
      <c r="C76" s="1206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287</v>
      </c>
      <c r="B77" s="195" t="s">
        <v>263</v>
      </c>
      <c r="C77" s="1206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264</v>
      </c>
      <c r="B78" s="112" t="s">
        <v>265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288</v>
      </c>
      <c r="B79" s="193" t="s">
        <v>266</v>
      </c>
      <c r="C79" s="1206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289</v>
      </c>
      <c r="B80" s="195" t="s">
        <v>267</v>
      </c>
      <c r="C80" s="1206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290</v>
      </c>
      <c r="B82" s="193" t="s">
        <v>270</v>
      </c>
      <c r="C82" s="1206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291</v>
      </c>
      <c r="B83" s="194" t="s">
        <v>271</v>
      </c>
      <c r="C83" s="1206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292</v>
      </c>
      <c r="B84" s="195" t="s">
        <v>272</v>
      </c>
      <c r="C84" s="1206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274</v>
      </c>
      <c r="B86" s="193" t="s">
        <v>275</v>
      </c>
      <c r="C86" s="1206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276</v>
      </c>
      <c r="B87" s="194" t="s">
        <v>277</v>
      </c>
      <c r="C87" s="1206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278</v>
      </c>
      <c r="B88" s="194" t="s">
        <v>279</v>
      </c>
      <c r="C88" s="1206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280</v>
      </c>
      <c r="B89" s="195" t="s">
        <v>281</v>
      </c>
      <c r="C89" s="1206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282</v>
      </c>
      <c r="B90" s="112" t="s">
        <v>456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508</v>
      </c>
      <c r="B91" s="112" t="s">
        <v>283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1717547954</v>
      </c>
      <c r="D92" s="392">
        <f>'9.1.1. sz. mell. '!C92+'9.1.2. sz. mell.'!C92</f>
        <v>1717547954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510</v>
      </c>
      <c r="B93" s="201" t="s">
        <v>511</v>
      </c>
      <c r="C93" s="285">
        <f>+C68+C92</f>
        <v>4342859316</v>
      </c>
      <c r="D93" s="392">
        <f>'9.1.1. sz. mell. '!C93+'9.1.2. sz. mell.'!C93</f>
        <v>4342859316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18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18"/>
      <c r="F95" s="391">
        <f t="shared" si="3"/>
        <v>0</v>
      </c>
    </row>
    <row r="96" spans="1:6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877172372</v>
      </c>
      <c r="D96" s="392">
        <f>'9.1.1. sz. mell. '!C96+'9.1.2. sz. mell.'!C96</f>
        <v>877172372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99</v>
      </c>
      <c r="B97" s="7" t="s">
        <v>51</v>
      </c>
      <c r="C97" s="1215">
        <f>58196818+386400-2106730+1447647+483000-4699427-457270</f>
        <v>53250438</v>
      </c>
      <c r="D97" s="392">
        <f>'9.1.1. sz. mell. '!C97+'9.1.2. sz. mell.'!C97</f>
        <v>53250438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100</v>
      </c>
      <c r="B98" s="5" t="s">
        <v>148</v>
      </c>
      <c r="C98" s="1213">
        <f>10227471+67620+129165+74865-1270081+457270</f>
        <v>9686310</v>
      </c>
      <c r="D98" s="392">
        <f>'9.1.1. sz. mell. '!C98+'9.1.2. sz. mell.'!C98</f>
        <v>9686310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101</v>
      </c>
      <c r="B99" s="5" t="s">
        <v>124</v>
      </c>
      <c r="C99" s="1216">
        <f>370342686-649147+75039+18509+3886662+243600+488+17448317+32000-9488453+14216853</f>
        <v>396126554</v>
      </c>
      <c r="D99" s="392">
        <f>'9.1.1. sz. mell. '!C99+'9.1.2. sz. mell.'!C99</f>
        <v>396126554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102</v>
      </c>
      <c r="B100" s="8" t="s">
        <v>149</v>
      </c>
      <c r="C100" s="1207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113</v>
      </c>
      <c r="B101" s="16" t="s">
        <v>150</v>
      </c>
      <c r="C101" s="1207">
        <f>SUM(C102:C113)</f>
        <v>214669793</v>
      </c>
      <c r="D101" s="392">
        <f>'9.1.1. sz. mell. '!C101+'9.1.2. sz. mell.'!C101</f>
        <v>214669793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103</v>
      </c>
      <c r="B102" s="5" t="s">
        <v>512</v>
      </c>
      <c r="C102" s="1207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104</v>
      </c>
      <c r="B103" s="61" t="s">
        <v>461</v>
      </c>
      <c r="C103" s="1207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114</v>
      </c>
      <c r="B104" s="61" t="s">
        <v>462</v>
      </c>
      <c r="C104" s="1207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115</v>
      </c>
      <c r="B105" s="61" t="s">
        <v>299</v>
      </c>
      <c r="C105" s="1207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116</v>
      </c>
      <c r="B106" s="62" t="s">
        <v>300</v>
      </c>
      <c r="C106" s="1207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117</v>
      </c>
      <c r="B107" s="62" t="s">
        <v>301</v>
      </c>
      <c r="C107" s="1207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119</v>
      </c>
      <c r="B108" s="61" t="s">
        <v>302</v>
      </c>
      <c r="C108" s="1207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151</v>
      </c>
      <c r="B109" s="61" t="s">
        <v>303</v>
      </c>
      <c r="C109" s="1207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297</v>
      </c>
      <c r="B110" s="62" t="s">
        <v>304</v>
      </c>
      <c r="C110" s="1207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298</v>
      </c>
      <c r="B111" s="63" t="s">
        <v>305</v>
      </c>
      <c r="C111" s="1207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463</v>
      </c>
      <c r="B112" s="63" t="s">
        <v>306</v>
      </c>
      <c r="C112" s="1207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464</v>
      </c>
      <c r="B113" s="62" t="s">
        <v>307</v>
      </c>
      <c r="C113" s="1206">
        <f>209809461-3+1620969+986190</f>
        <v>212416617</v>
      </c>
      <c r="D113" s="392">
        <f>'9.1.1. sz. mell. '!C113+'9.1.2. sz. mell.'!C113</f>
        <v>212416617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465</v>
      </c>
      <c r="B114" s="8" t="s">
        <v>52</v>
      </c>
      <c r="C114" s="1206">
        <f>SUM(C115:C116)</f>
        <v>142139277</v>
      </c>
      <c r="D114" s="392">
        <f>'9.1.1. sz. mell. '!C114+'9.1.2. sz. mell.'!C114</f>
        <v>142139277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466</v>
      </c>
      <c r="B115" s="5" t="s">
        <v>513</v>
      </c>
      <c r="C115" s="1216">
        <f>20000000+10207308-13229384-322815+29863551-32000+769709+109500</f>
        <v>47365869</v>
      </c>
      <c r="D115" s="392">
        <f>'9.1.1. sz. mell. '!C115+'9.1.2. sz. mell.'!C115</f>
        <v>47365869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468</v>
      </c>
      <c r="B116" s="64" t="s">
        <v>514</v>
      </c>
      <c r="C116" s="1217">
        <f>113240838-1722008-810685-253737-15000000+11503705-12184705</f>
        <v>94773408</v>
      </c>
      <c r="D116" s="392">
        <f>'9.1.1. sz. mell. '!C116+'9.1.2. sz. mell.'!C116</f>
        <v>94773408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308</v>
      </c>
      <c r="C117" s="282">
        <f>+C118+C120+C122</f>
        <v>1180953767</v>
      </c>
      <c r="D117" s="392">
        <f>'9.1.1. sz. mell. '!C117+'9.1.2. sz. mell.'!C117</f>
        <v>1180953767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105</v>
      </c>
      <c r="B118" s="5" t="s">
        <v>172</v>
      </c>
      <c r="C118" s="1218">
        <f>653972603-2000000+109147+6000000+1174312-488+3102460-15972467-727553</f>
        <v>645658014</v>
      </c>
      <c r="D118" s="392">
        <f>'9.1.1. sz. mell. '!C118+'9.1.2. sz. mell.'!C118</f>
        <v>645658014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106</v>
      </c>
      <c r="B119" s="9" t="s">
        <v>312</v>
      </c>
      <c r="C119" s="1218">
        <f>135288734+5016896+2634996+425334254+5408883+691900+6000000-2533650-1843756</f>
        <v>575998257</v>
      </c>
      <c r="D119" s="392">
        <f>'9.1.1. sz. mell. '!C119+'9.1.2. sz. mell.'!C119</f>
        <v>575998257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107</v>
      </c>
      <c r="B120" s="9" t="s">
        <v>152</v>
      </c>
      <c r="C120" s="1213">
        <f>260935796+677185+322815+3524000+262957237</f>
        <v>528417033</v>
      </c>
      <c r="D120" s="392">
        <f>'9.1.1. sz. mell. '!C120+'9.1.2. sz. mell.'!C120</f>
        <v>528417033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108</v>
      </c>
      <c r="B121" s="9" t="s">
        <v>313</v>
      </c>
      <c r="C121" s="1213">
        <f>80112238+12241160+193078749</f>
        <v>285432147</v>
      </c>
      <c r="D121" s="392">
        <f>'9.1.1. sz. mell. '!C121+'9.1.2. sz. mell.'!C121</f>
        <v>285432147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109</v>
      </c>
      <c r="B122" s="114" t="s">
        <v>174</v>
      </c>
      <c r="C122" s="1206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118</v>
      </c>
      <c r="B123" s="113" t="s">
        <v>375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120</v>
      </c>
      <c r="B124" s="189" t="s">
        <v>318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153</v>
      </c>
      <c r="B125" s="62" t="s">
        <v>301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154</v>
      </c>
      <c r="B126" s="62" t="s">
        <v>317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155</v>
      </c>
      <c r="B127" s="62" t="s">
        <v>316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309</v>
      </c>
      <c r="B128" s="62" t="s">
        <v>304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310</v>
      </c>
      <c r="B129" s="62" t="s">
        <v>315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311</v>
      </c>
      <c r="B130" s="62" t="s">
        <v>314</v>
      </c>
      <c r="C130" s="1207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470</v>
      </c>
      <c r="C131" s="282">
        <f>+C96+C117</f>
        <v>2058126139</v>
      </c>
      <c r="D131" s="392">
        <f>'9.1.1. sz. mell. '!C131+'9.1.2. sz. mell.'!C131</f>
        <v>2058126139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471</v>
      </c>
      <c r="C132" s="282">
        <f>+C133+C134+C135</f>
        <v>726038434</v>
      </c>
      <c r="D132" s="392">
        <f>'9.1.1. sz. mell. '!C132+'9.1.2. sz. mell.'!C132</f>
        <v>726038434</v>
      </c>
      <c r="E132" s="392">
        <f t="shared" si="4"/>
        <v>0</v>
      </c>
      <c r="F132" s="391">
        <f t="shared" si="3"/>
        <v>0</v>
      </c>
    </row>
    <row r="133" spans="1:7" s="1010" customFormat="1" ht="12" customHeight="1" thickBot="1" x14ac:dyDescent="0.25">
      <c r="A133" s="207" t="s">
        <v>210</v>
      </c>
      <c r="B133" s="6" t="s">
        <v>515</v>
      </c>
      <c r="C133" s="1206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213</v>
      </c>
      <c r="B134" s="6" t="s">
        <v>473</v>
      </c>
      <c r="C134" s="106">
        <v>700000000</v>
      </c>
      <c r="D134" s="392">
        <f>'9.1.1. sz. mell. '!C134+'9.1.2. sz. mell.'!C134</f>
        <v>700000000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214</v>
      </c>
      <c r="B135" s="4" t="s">
        <v>516</v>
      </c>
      <c r="C135" s="106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92</v>
      </c>
      <c r="B137" s="6" t="s">
        <v>476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93</v>
      </c>
      <c r="B138" s="6" t="s">
        <v>477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94</v>
      </c>
      <c r="B139" s="6" t="s">
        <v>478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140</v>
      </c>
      <c r="B140" s="6" t="s">
        <v>517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141</v>
      </c>
      <c r="B141" s="6" t="s">
        <v>480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1010" customFormat="1" ht="12" customHeight="1" thickBot="1" x14ac:dyDescent="0.25">
      <c r="A142" s="216" t="s">
        <v>142</v>
      </c>
      <c r="B142" s="4" t="s">
        <v>481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95</v>
      </c>
      <c r="B144" s="6" t="s">
        <v>319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96</v>
      </c>
      <c r="B145" s="6" t="s">
        <v>320</v>
      </c>
      <c r="C145" s="1206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1010" customFormat="1" ht="12" customHeight="1" thickBot="1" x14ac:dyDescent="0.25">
      <c r="A146" s="207" t="s">
        <v>233</v>
      </c>
      <c r="B146" s="6" t="s">
        <v>483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1010" customFormat="1" ht="12" customHeight="1" thickBot="1" x14ac:dyDescent="0.25">
      <c r="A147" s="216" t="s">
        <v>234</v>
      </c>
      <c r="B147" s="4" t="s">
        <v>338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1010" customFormat="1" ht="12" customHeight="1" thickBot="1" x14ac:dyDescent="0.25">
      <c r="A149" s="207" t="s">
        <v>97</v>
      </c>
      <c r="B149" s="6" t="s">
        <v>485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1010" customFormat="1" ht="12" customHeight="1" thickBot="1" x14ac:dyDescent="0.25">
      <c r="A150" s="207" t="s">
        <v>98</v>
      </c>
      <c r="B150" s="6" t="s">
        <v>486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1010" customFormat="1" ht="12" customHeight="1" thickBot="1" x14ac:dyDescent="0.25">
      <c r="A151" s="207" t="s">
        <v>245</v>
      </c>
      <c r="B151" s="6" t="s">
        <v>487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1010" customFormat="1" ht="12" customHeight="1" thickBot="1" x14ac:dyDescent="0.25">
      <c r="A152" s="207" t="s">
        <v>246</v>
      </c>
      <c r="B152" s="6" t="s">
        <v>519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489</v>
      </c>
      <c r="B153" s="4" t="s">
        <v>490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491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492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493</v>
      </c>
      <c r="C156" s="293">
        <f>+C132+C136+C143+C148+C154+C155</f>
        <v>771710688</v>
      </c>
      <c r="D156" s="392">
        <f>'9.1.1. sz. mell. '!C156+'9.1.2. sz. mell.'!C156</f>
        <v>771710688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494</v>
      </c>
      <c r="C157" s="293">
        <f>+C131+C156</f>
        <v>2829836827</v>
      </c>
      <c r="D157" s="392">
        <f>'9.1.1. sz. mell. '!C157+'9.1.2. sz. mell.'!C157</f>
        <v>2829836827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71" t="s">
        <v>520</v>
      </c>
      <c r="B159" s="103"/>
      <c r="C159" s="56">
        <v>5</v>
      </c>
      <c r="D159" s="1060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71" t="s">
        <v>945</v>
      </c>
      <c r="B160" s="103"/>
      <c r="C160" s="1059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2"/>
  <dimension ref="A1:I159"/>
  <sheetViews>
    <sheetView view="pageBreakPreview" topLeftCell="A136" zoomScale="70" zoomScaleNormal="115" zoomScaleSheetLayoutView="70" workbookViewId="0">
      <selection activeCell="M80" sqref="M80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1006" bestFit="1" customWidth="1"/>
    <col min="5" max="16384" width="9.33203125" style="1006"/>
  </cols>
  <sheetData>
    <row r="1" spans="1:3" x14ac:dyDescent="0.2">
      <c r="A1" s="1503" t="str">
        <f>CONCATENATE("13. melléklet"," ",ALAPADATOK!A7," ",ALAPADATOK!B7," ",ALAPADATOK!C7," ",ALAPADATOK!D7," ",ALAPADATOK!E7," ",ALAPADATOK!F7," ",ALAPADATOK!G7," ",ALAPADATOK!H7)</f>
        <v>13. melléklet a  / 2020. (  ) önkormányzati rendelethez</v>
      </c>
      <c r="B1" s="1503"/>
      <c r="C1" s="1503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3" s="39" customFormat="1" ht="16.5" thickBot="1" x14ac:dyDescent="0.25">
      <c r="A4" s="83" t="s">
        <v>165</v>
      </c>
      <c r="B4" s="163" t="s">
        <v>376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1296574692</v>
      </c>
    </row>
    <row r="10" spans="1:3" s="41" customFormat="1" ht="12" customHeight="1" x14ac:dyDescent="0.2">
      <c r="A10" s="207" t="s">
        <v>99</v>
      </c>
      <c r="B10" s="193" t="s">
        <v>195</v>
      </c>
      <c r="C10" s="1208">
        <f>229318994+27629700+809750</f>
        <v>257758444</v>
      </c>
    </row>
    <row r="11" spans="1:3" s="42" customFormat="1" ht="12" customHeight="1" x14ac:dyDescent="0.2">
      <c r="A11" s="208" t="s">
        <v>100</v>
      </c>
      <c r="B11" s="194" t="s">
        <v>196</v>
      </c>
      <c r="C11" s="1206">
        <f>229603230+17312349</f>
        <v>246915579</v>
      </c>
    </row>
    <row r="12" spans="1:3" s="42" customFormat="1" ht="12" customHeight="1" x14ac:dyDescent="0.2">
      <c r="A12" s="208" t="s">
        <v>101</v>
      </c>
      <c r="B12" s="194" t="s">
        <v>998</v>
      </c>
      <c r="C12" s="1206">
        <f>SUM(C13:C14)</f>
        <v>619801644</v>
      </c>
    </row>
    <row r="13" spans="1:3" s="42" customFormat="1" ht="12" customHeight="1" x14ac:dyDescent="0.2">
      <c r="A13" s="208" t="s">
        <v>996</v>
      </c>
      <c r="B13" s="194" t="s">
        <v>999</v>
      </c>
      <c r="C13" s="1206">
        <f>415622102+9775700+4495800</f>
        <v>429893602</v>
      </c>
    </row>
    <row r="14" spans="1:3" s="42" customFormat="1" ht="12" customHeight="1" x14ac:dyDescent="0.2">
      <c r="A14" s="208" t="s">
        <v>997</v>
      </c>
      <c r="B14" s="194" t="s">
        <v>1000</v>
      </c>
      <c r="C14" s="1206">
        <f>186127562+3780480</f>
        <v>189908042</v>
      </c>
    </row>
    <row r="15" spans="1:3" s="42" customFormat="1" ht="12" customHeight="1" x14ac:dyDescent="0.2">
      <c r="A15" s="208" t="s">
        <v>102</v>
      </c>
      <c r="B15" s="194" t="s">
        <v>198</v>
      </c>
      <c r="C15" s="1206">
        <f>20802409+12622000+477000+5649340</f>
        <v>39550749</v>
      </c>
    </row>
    <row r="16" spans="1:3" s="42" customFormat="1" ht="12" customHeight="1" x14ac:dyDescent="0.2">
      <c r="A16" s="208" t="s">
        <v>125</v>
      </c>
      <c r="B16" s="194" t="s">
        <v>507</v>
      </c>
      <c r="C16" s="1206">
        <f>159215979+899997-27567700</f>
        <v>132548276</v>
      </c>
    </row>
    <row r="17" spans="1:3" s="41" customFormat="1" ht="12" customHeight="1" thickBot="1" x14ac:dyDescent="0.25">
      <c r="A17" s="209" t="s">
        <v>103</v>
      </c>
      <c r="B17" s="195" t="s">
        <v>450</v>
      </c>
      <c r="C17" s="106"/>
    </row>
    <row r="18" spans="1:3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109489780</v>
      </c>
    </row>
    <row r="19" spans="1:3" s="41" customFormat="1" ht="12" customHeight="1" x14ac:dyDescent="0.2">
      <c r="A19" s="207" t="s">
        <v>105</v>
      </c>
      <c r="B19" s="193" t="s">
        <v>200</v>
      </c>
      <c r="C19" s="284"/>
    </row>
    <row r="20" spans="1:3" s="41" customFormat="1" ht="12" customHeight="1" x14ac:dyDescent="0.2">
      <c r="A20" s="208" t="s">
        <v>106</v>
      </c>
      <c r="B20" s="194" t="s">
        <v>201</v>
      </c>
      <c r="C20" s="106"/>
    </row>
    <row r="21" spans="1:3" s="41" customFormat="1" ht="12" customHeight="1" x14ac:dyDescent="0.2">
      <c r="A21" s="208" t="s">
        <v>107</v>
      </c>
      <c r="B21" s="194" t="s">
        <v>369</v>
      </c>
      <c r="C21" s="106"/>
    </row>
    <row r="22" spans="1:3" s="41" customFormat="1" ht="12" customHeight="1" x14ac:dyDescent="0.2">
      <c r="A22" s="208" t="s">
        <v>108</v>
      </c>
      <c r="B22" s="194" t="s">
        <v>370</v>
      </c>
      <c r="C22" s="106"/>
    </row>
    <row r="23" spans="1:3" s="41" customFormat="1" ht="12" customHeight="1" x14ac:dyDescent="0.2">
      <c r="A23" s="208" t="s">
        <v>109</v>
      </c>
      <c r="B23" s="194" t="s">
        <v>202</v>
      </c>
      <c r="C23" s="1213">
        <f>119646890-13262610+3105500</f>
        <v>109489780</v>
      </c>
    </row>
    <row r="24" spans="1:3" s="42" customFormat="1" ht="12" customHeight="1" thickBot="1" x14ac:dyDescent="0.25">
      <c r="A24" s="209" t="s">
        <v>118</v>
      </c>
      <c r="B24" s="195" t="s">
        <v>203</v>
      </c>
      <c r="C24" s="1216">
        <f>16392698+36497760+62436432-13262610+2763895</f>
        <v>104828175</v>
      </c>
    </row>
    <row r="25" spans="1:3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296044816</v>
      </c>
    </row>
    <row r="26" spans="1:3" s="42" customFormat="1" ht="12" customHeight="1" x14ac:dyDescent="0.2">
      <c r="A26" s="207" t="s">
        <v>88</v>
      </c>
      <c r="B26" s="193" t="s">
        <v>205</v>
      </c>
      <c r="C26" s="1218">
        <v>34511116</v>
      </c>
    </row>
    <row r="27" spans="1:3" s="41" customFormat="1" ht="12" customHeight="1" x14ac:dyDescent="0.2">
      <c r="A27" s="208" t="s">
        <v>89</v>
      </c>
      <c r="B27" s="194" t="s">
        <v>206</v>
      </c>
      <c r="C27" s="1206"/>
    </row>
    <row r="28" spans="1:3" s="42" customFormat="1" ht="12" customHeight="1" x14ac:dyDescent="0.2">
      <c r="A28" s="208" t="s">
        <v>90</v>
      </c>
      <c r="B28" s="194" t="s">
        <v>371</v>
      </c>
      <c r="C28" s="1206"/>
    </row>
    <row r="29" spans="1:3" s="42" customFormat="1" ht="12" customHeight="1" x14ac:dyDescent="0.2">
      <c r="A29" s="208" t="s">
        <v>91</v>
      </c>
      <c r="B29" s="194" t="s">
        <v>372</v>
      </c>
      <c r="C29" s="1206"/>
    </row>
    <row r="30" spans="1:3" s="42" customFormat="1" ht="12" customHeight="1" x14ac:dyDescent="0.2">
      <c r="A30" s="208" t="s">
        <v>136</v>
      </c>
      <c r="B30" s="194" t="s">
        <v>207</v>
      </c>
      <c r="C30" s="1213">
        <f>36977634-2533650+227089716</f>
        <v>261533700</v>
      </c>
    </row>
    <row r="31" spans="1:3" s="42" customFormat="1" ht="12" customHeight="1" thickBot="1" x14ac:dyDescent="0.25">
      <c r="A31" s="209" t="s">
        <v>137</v>
      </c>
      <c r="B31" s="195" t="s">
        <v>208</v>
      </c>
      <c r="C31" s="1216">
        <f>36977634-2533650+202109846</f>
        <v>236553830</v>
      </c>
    </row>
    <row r="32" spans="1:3" s="42" customFormat="1" ht="12" customHeight="1" thickBot="1" x14ac:dyDescent="0.25">
      <c r="A32" s="25" t="s">
        <v>138</v>
      </c>
      <c r="B32" s="18" t="s">
        <v>655</v>
      </c>
      <c r="C32" s="285">
        <f>+C33+C37+C38+C39</f>
        <v>503000000</v>
      </c>
    </row>
    <row r="33" spans="1:3" s="42" customFormat="1" ht="12" customHeight="1" x14ac:dyDescent="0.2">
      <c r="A33" s="207" t="s">
        <v>210</v>
      </c>
      <c r="B33" s="193" t="s">
        <v>651</v>
      </c>
      <c r="C33" s="299">
        <f>SUM(C34:C35)</f>
        <v>486000000</v>
      </c>
    </row>
    <row r="34" spans="1:3" s="42" customFormat="1" ht="12" customHeight="1" x14ac:dyDescent="0.2">
      <c r="A34" s="208" t="s">
        <v>211</v>
      </c>
      <c r="B34" s="194" t="s">
        <v>216</v>
      </c>
      <c r="C34" s="106">
        <v>86000000</v>
      </c>
    </row>
    <row r="35" spans="1:3" s="42" customFormat="1" ht="12" customHeight="1" x14ac:dyDescent="0.2">
      <c r="A35" s="208" t="s">
        <v>212</v>
      </c>
      <c r="B35" s="251" t="s">
        <v>650</v>
      </c>
      <c r="C35" s="106">
        <v>400000000</v>
      </c>
    </row>
    <row r="36" spans="1:3" s="42" customFormat="1" ht="12" customHeight="1" x14ac:dyDescent="0.2">
      <c r="A36" s="208" t="s">
        <v>213</v>
      </c>
      <c r="B36" s="194" t="s">
        <v>537</v>
      </c>
      <c r="C36" s="1206"/>
    </row>
    <row r="37" spans="1:3" s="42" customFormat="1" ht="12" customHeight="1" x14ac:dyDescent="0.2">
      <c r="A37" s="208" t="s">
        <v>538</v>
      </c>
      <c r="B37" s="194" t="s">
        <v>217</v>
      </c>
      <c r="C37" s="1213">
        <f>35000000-35000000</f>
        <v>0</v>
      </c>
    </row>
    <row r="38" spans="1:3" s="42" customFormat="1" ht="12" customHeight="1" x14ac:dyDescent="0.2">
      <c r="A38" s="208" t="s">
        <v>215</v>
      </c>
      <c r="B38" s="194" t="s">
        <v>218</v>
      </c>
      <c r="C38" s="106">
        <v>1000000</v>
      </c>
    </row>
    <row r="39" spans="1:3" s="42" customFormat="1" ht="12" customHeight="1" thickBot="1" x14ac:dyDescent="0.25">
      <c r="A39" s="209" t="s">
        <v>539</v>
      </c>
      <c r="B39" s="195" t="s">
        <v>219</v>
      </c>
      <c r="C39" s="1207">
        <v>16000000</v>
      </c>
    </row>
    <row r="40" spans="1:3" s="42" customFormat="1" ht="12" customHeight="1" thickBot="1" x14ac:dyDescent="0.25">
      <c r="A40" s="25" t="s">
        <v>25</v>
      </c>
      <c r="B40" s="18" t="s">
        <v>451</v>
      </c>
      <c r="C40" s="282">
        <f>SUM(C41:C51)</f>
        <v>43997421</v>
      </c>
    </row>
    <row r="41" spans="1:3" s="42" customFormat="1" ht="12" customHeight="1" x14ac:dyDescent="0.2">
      <c r="A41" s="207" t="s">
        <v>92</v>
      </c>
      <c r="B41" s="193" t="s">
        <v>222</v>
      </c>
      <c r="C41" s="1208">
        <v>8175576</v>
      </c>
    </row>
    <row r="42" spans="1:3" s="42" customFormat="1" ht="12" customHeight="1" x14ac:dyDescent="0.2">
      <c r="A42" s="208" t="s">
        <v>93</v>
      </c>
      <c r="B42" s="194" t="s">
        <v>223</v>
      </c>
      <c r="C42" s="1206">
        <v>14518450</v>
      </c>
    </row>
    <row r="43" spans="1:3" s="42" customFormat="1" ht="12" customHeight="1" x14ac:dyDescent="0.2">
      <c r="A43" s="208" t="s">
        <v>94</v>
      </c>
      <c r="B43" s="194" t="s">
        <v>224</v>
      </c>
      <c r="C43" s="1206">
        <f>8868669+808800+200000</f>
        <v>9877469</v>
      </c>
    </row>
    <row r="44" spans="1:3" s="42" customFormat="1" ht="12" customHeight="1" x14ac:dyDescent="0.2">
      <c r="A44" s="208" t="s">
        <v>140</v>
      </c>
      <c r="B44" s="194" t="s">
        <v>225</v>
      </c>
      <c r="C44" s="1206">
        <v>1006560</v>
      </c>
    </row>
    <row r="45" spans="1:3" s="42" customFormat="1" ht="12" customHeight="1" x14ac:dyDescent="0.2">
      <c r="A45" s="208" t="s">
        <v>141</v>
      </c>
      <c r="B45" s="194" t="s">
        <v>226</v>
      </c>
      <c r="C45" s="1206"/>
    </row>
    <row r="46" spans="1:3" s="42" customFormat="1" ht="12" customHeight="1" x14ac:dyDescent="0.2">
      <c r="A46" s="208" t="s">
        <v>142</v>
      </c>
      <c r="B46" s="194" t="s">
        <v>227</v>
      </c>
      <c r="C46" s="1206">
        <f>7168370+152604+54000</f>
        <v>7374974</v>
      </c>
    </row>
    <row r="47" spans="1:3" s="42" customFormat="1" ht="12" customHeight="1" x14ac:dyDescent="0.2">
      <c r="A47" s="208" t="s">
        <v>143</v>
      </c>
      <c r="B47" s="194" t="s">
        <v>228</v>
      </c>
      <c r="C47" s="1206"/>
    </row>
    <row r="48" spans="1:3" s="42" customFormat="1" ht="12" customHeight="1" x14ac:dyDescent="0.2">
      <c r="A48" s="208" t="s">
        <v>144</v>
      </c>
      <c r="B48" s="194" t="s">
        <v>229</v>
      </c>
      <c r="C48" s="1206"/>
    </row>
    <row r="49" spans="1:3" s="42" customFormat="1" ht="12" customHeight="1" x14ac:dyDescent="0.2">
      <c r="A49" s="208" t="s">
        <v>220</v>
      </c>
      <c r="B49" s="194" t="s">
        <v>230</v>
      </c>
      <c r="C49" s="1206"/>
    </row>
    <row r="50" spans="1:3" s="42" customFormat="1" ht="12" customHeight="1" x14ac:dyDescent="0.2">
      <c r="A50" s="209" t="s">
        <v>221</v>
      </c>
      <c r="B50" s="195" t="s">
        <v>452</v>
      </c>
      <c r="C50" s="1207">
        <v>1000000</v>
      </c>
    </row>
    <row r="51" spans="1:3" s="42" customFormat="1" ht="12" customHeight="1" thickBot="1" x14ac:dyDescent="0.25">
      <c r="A51" s="209" t="s">
        <v>453</v>
      </c>
      <c r="B51" s="195" t="s">
        <v>231</v>
      </c>
      <c r="C51" s="1207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</row>
    <row r="53" spans="1:3" s="42" customFormat="1" ht="12" customHeight="1" x14ac:dyDescent="0.2">
      <c r="A53" s="207" t="s">
        <v>95</v>
      </c>
      <c r="B53" s="193" t="s">
        <v>236</v>
      </c>
      <c r="C53" s="1208"/>
    </row>
    <row r="54" spans="1:3" s="42" customFormat="1" ht="12" customHeight="1" x14ac:dyDescent="0.2">
      <c r="A54" s="208" t="s">
        <v>96</v>
      </c>
      <c r="B54" s="194" t="s">
        <v>237</v>
      </c>
      <c r="C54" s="1206">
        <v>44304508</v>
      </c>
    </row>
    <row r="55" spans="1:3" s="42" customFormat="1" ht="12" customHeight="1" x14ac:dyDescent="0.2">
      <c r="A55" s="208" t="s">
        <v>233</v>
      </c>
      <c r="B55" s="194" t="s">
        <v>238</v>
      </c>
      <c r="C55" s="1206"/>
    </row>
    <row r="56" spans="1:3" s="42" customFormat="1" ht="12" customHeight="1" x14ac:dyDescent="0.2">
      <c r="A56" s="208" t="s">
        <v>234</v>
      </c>
      <c r="B56" s="194" t="s">
        <v>239</v>
      </c>
      <c r="C56" s="1206"/>
    </row>
    <row r="57" spans="1:3" s="42" customFormat="1" ht="12" customHeight="1" thickBot="1" x14ac:dyDescent="0.25">
      <c r="A57" s="209" t="s">
        <v>235</v>
      </c>
      <c r="B57" s="195" t="s">
        <v>240</v>
      </c>
      <c r="C57" s="1207"/>
    </row>
    <row r="58" spans="1:3" s="42" customFormat="1" ht="12" customHeight="1" thickBot="1" x14ac:dyDescent="0.25">
      <c r="A58" s="25" t="s">
        <v>145</v>
      </c>
      <c r="B58" s="18" t="s">
        <v>241</v>
      </c>
      <c r="C58" s="282">
        <f>SUM(C59:C61)</f>
        <v>1100000</v>
      </c>
    </row>
    <row r="59" spans="1:3" s="42" customFormat="1" ht="12" customHeight="1" x14ac:dyDescent="0.2">
      <c r="A59" s="207" t="s">
        <v>97</v>
      </c>
      <c r="B59" s="193" t="s">
        <v>242</v>
      </c>
      <c r="C59" s="284"/>
    </row>
    <row r="60" spans="1:3" s="42" customFormat="1" ht="12" customHeight="1" x14ac:dyDescent="0.2">
      <c r="A60" s="208" t="s">
        <v>98</v>
      </c>
      <c r="B60" s="194" t="s">
        <v>373</v>
      </c>
      <c r="C60" s="1206">
        <v>200000</v>
      </c>
    </row>
    <row r="61" spans="1:3" s="42" customFormat="1" ht="12" customHeight="1" x14ac:dyDescent="0.2">
      <c r="A61" s="208" t="s">
        <v>245</v>
      </c>
      <c r="B61" s="194" t="s">
        <v>243</v>
      </c>
      <c r="C61" s="1206">
        <v>900000</v>
      </c>
    </row>
    <row r="62" spans="1:3" s="42" customFormat="1" ht="12" customHeight="1" thickBot="1" x14ac:dyDescent="0.25">
      <c r="A62" s="209" t="s">
        <v>246</v>
      </c>
      <c r="B62" s="195" t="s">
        <v>244</v>
      </c>
      <c r="C62" s="107"/>
    </row>
    <row r="63" spans="1:3" s="42" customFormat="1" ht="12" customHeight="1" thickBot="1" x14ac:dyDescent="0.25">
      <c r="A63" s="25" t="s">
        <v>28</v>
      </c>
      <c r="B63" s="112" t="s">
        <v>247</v>
      </c>
      <c r="C63" s="282">
        <f>SUM(C64:C66)</f>
        <v>0</v>
      </c>
    </row>
    <row r="64" spans="1:3" s="42" customFormat="1" ht="12" customHeight="1" x14ac:dyDescent="0.2">
      <c r="A64" s="207" t="s">
        <v>146</v>
      </c>
      <c r="B64" s="193" t="s">
        <v>249</v>
      </c>
      <c r="C64" s="1206"/>
    </row>
    <row r="65" spans="1:3" s="42" customFormat="1" ht="12" customHeight="1" x14ac:dyDescent="0.2">
      <c r="A65" s="208" t="s">
        <v>147</v>
      </c>
      <c r="B65" s="194" t="s">
        <v>374</v>
      </c>
      <c r="C65" s="1206"/>
    </row>
    <row r="66" spans="1:3" s="42" customFormat="1" ht="12" customHeight="1" x14ac:dyDescent="0.2">
      <c r="A66" s="208" t="s">
        <v>173</v>
      </c>
      <c r="B66" s="194" t="s">
        <v>250</v>
      </c>
      <c r="C66" s="1206"/>
    </row>
    <row r="67" spans="1:3" s="42" customFormat="1" ht="12" customHeight="1" thickBot="1" x14ac:dyDescent="0.25">
      <c r="A67" s="209" t="s">
        <v>248</v>
      </c>
      <c r="B67" s="195" t="s">
        <v>251</v>
      </c>
      <c r="C67" s="1206"/>
    </row>
    <row r="68" spans="1:3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2294511217</v>
      </c>
    </row>
    <row r="69" spans="1:3" s="42" customFormat="1" ht="12" customHeight="1" thickBot="1" x14ac:dyDescent="0.2">
      <c r="A69" s="210" t="s">
        <v>342</v>
      </c>
      <c r="B69" s="112" t="s">
        <v>254</v>
      </c>
      <c r="C69" s="282">
        <f>SUM(C70:C72)</f>
        <v>733570614</v>
      </c>
    </row>
    <row r="70" spans="1:3" s="42" customFormat="1" ht="12" customHeight="1" x14ac:dyDescent="0.2">
      <c r="A70" s="207" t="s">
        <v>285</v>
      </c>
      <c r="B70" s="193" t="s">
        <v>255</v>
      </c>
      <c r="C70" s="1206">
        <f>44951899-2540000-8841285</f>
        <v>33570614</v>
      </c>
    </row>
    <row r="71" spans="1:3" s="42" customFormat="1" ht="12" customHeight="1" x14ac:dyDescent="0.2">
      <c r="A71" s="208" t="s">
        <v>294</v>
      </c>
      <c r="B71" s="194" t="s">
        <v>256</v>
      </c>
      <c r="C71" s="1206">
        <v>700000000</v>
      </c>
    </row>
    <row r="72" spans="1:3" s="42" customFormat="1" ht="12" customHeight="1" thickBot="1" x14ac:dyDescent="0.25">
      <c r="A72" s="209" t="s">
        <v>295</v>
      </c>
      <c r="B72" s="196" t="s">
        <v>257</v>
      </c>
      <c r="C72" s="1206"/>
    </row>
    <row r="73" spans="1:3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</row>
    <row r="74" spans="1:3" s="42" customFormat="1" ht="12" customHeight="1" x14ac:dyDescent="0.2">
      <c r="A74" s="207" t="s">
        <v>126</v>
      </c>
      <c r="B74" s="193" t="s">
        <v>260</v>
      </c>
      <c r="C74" s="1206"/>
    </row>
    <row r="75" spans="1:3" s="42" customFormat="1" ht="12" customHeight="1" x14ac:dyDescent="0.2">
      <c r="A75" s="208" t="s">
        <v>127</v>
      </c>
      <c r="B75" s="194" t="s">
        <v>261</v>
      </c>
      <c r="C75" s="1206"/>
    </row>
    <row r="76" spans="1:3" s="42" customFormat="1" ht="12" customHeight="1" x14ac:dyDescent="0.2">
      <c r="A76" s="208" t="s">
        <v>286</v>
      </c>
      <c r="B76" s="194" t="s">
        <v>262</v>
      </c>
      <c r="C76" s="1206"/>
    </row>
    <row r="77" spans="1:3" s="42" customFormat="1" ht="12" customHeight="1" thickBot="1" x14ac:dyDescent="0.25">
      <c r="A77" s="209" t="s">
        <v>287</v>
      </c>
      <c r="B77" s="195" t="s">
        <v>263</v>
      </c>
      <c r="C77" s="1206"/>
    </row>
    <row r="78" spans="1:3" s="42" customFormat="1" ht="12" customHeight="1" thickBot="1" x14ac:dyDescent="0.2">
      <c r="A78" s="210" t="s">
        <v>264</v>
      </c>
      <c r="B78" s="112" t="s">
        <v>265</v>
      </c>
      <c r="C78" s="282">
        <f>SUM(C79:C80)</f>
        <v>930125258</v>
      </c>
    </row>
    <row r="79" spans="1:3" s="42" customFormat="1" ht="12" customHeight="1" x14ac:dyDescent="0.2">
      <c r="A79" s="207" t="s">
        <v>288</v>
      </c>
      <c r="B79" s="193" t="s">
        <v>266</v>
      </c>
      <c r="C79" s="1206">
        <f>933393998-3268740</f>
        <v>930125258</v>
      </c>
    </row>
    <row r="80" spans="1:3" s="42" customFormat="1" ht="12" customHeight="1" thickBot="1" x14ac:dyDescent="0.25">
      <c r="A80" s="209" t="s">
        <v>289</v>
      </c>
      <c r="B80" s="195" t="s">
        <v>267</v>
      </c>
      <c r="C80" s="1206"/>
    </row>
    <row r="81" spans="1:4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</row>
    <row r="82" spans="1:4" s="42" customFormat="1" ht="12" customHeight="1" x14ac:dyDescent="0.2">
      <c r="A82" s="207" t="s">
        <v>290</v>
      </c>
      <c r="B82" s="193" t="s">
        <v>270</v>
      </c>
      <c r="C82" s="1206">
        <f>45672254</f>
        <v>45672254</v>
      </c>
    </row>
    <row r="83" spans="1:4" s="42" customFormat="1" ht="12" customHeight="1" x14ac:dyDescent="0.2">
      <c r="A83" s="208" t="s">
        <v>291</v>
      </c>
      <c r="B83" s="194" t="s">
        <v>271</v>
      </c>
      <c r="C83" s="1206"/>
    </row>
    <row r="84" spans="1:4" s="42" customFormat="1" ht="12" customHeight="1" thickBot="1" x14ac:dyDescent="0.25">
      <c r="A84" s="209" t="s">
        <v>292</v>
      </c>
      <c r="B84" s="195" t="s">
        <v>272</v>
      </c>
      <c r="C84" s="1206"/>
    </row>
    <row r="85" spans="1:4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</row>
    <row r="86" spans="1:4" s="42" customFormat="1" ht="12" customHeight="1" x14ac:dyDescent="0.2">
      <c r="A86" s="211" t="s">
        <v>274</v>
      </c>
      <c r="B86" s="193" t="s">
        <v>275</v>
      </c>
      <c r="C86" s="1206"/>
    </row>
    <row r="87" spans="1:4" s="42" customFormat="1" ht="12" customHeight="1" x14ac:dyDescent="0.2">
      <c r="A87" s="212" t="s">
        <v>276</v>
      </c>
      <c r="B87" s="194" t="s">
        <v>277</v>
      </c>
      <c r="C87" s="1206"/>
    </row>
    <row r="88" spans="1:4" s="42" customFormat="1" ht="12" customHeight="1" x14ac:dyDescent="0.2">
      <c r="A88" s="212" t="s">
        <v>278</v>
      </c>
      <c r="B88" s="194" t="s">
        <v>279</v>
      </c>
      <c r="C88" s="1206"/>
    </row>
    <row r="89" spans="1:4" s="41" customFormat="1" ht="12" customHeight="1" thickBot="1" x14ac:dyDescent="0.25">
      <c r="A89" s="213" t="s">
        <v>280</v>
      </c>
      <c r="B89" s="195" t="s">
        <v>281</v>
      </c>
      <c r="C89" s="1206"/>
    </row>
    <row r="90" spans="1:4" s="41" customFormat="1" ht="12" customHeight="1" thickBot="1" x14ac:dyDescent="0.2">
      <c r="A90" s="210" t="s">
        <v>282</v>
      </c>
      <c r="B90" s="112" t="s">
        <v>456</v>
      </c>
      <c r="C90" s="287"/>
    </row>
    <row r="91" spans="1:4" s="41" customFormat="1" ht="12" customHeight="1" thickBot="1" x14ac:dyDescent="0.2">
      <c r="A91" s="210" t="s">
        <v>508</v>
      </c>
      <c r="B91" s="112" t="s">
        <v>283</v>
      </c>
      <c r="C91" s="287"/>
    </row>
    <row r="92" spans="1:4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1709368126</v>
      </c>
    </row>
    <row r="93" spans="1:4" s="41" customFormat="1" ht="12" customHeight="1" thickBot="1" x14ac:dyDescent="0.2">
      <c r="A93" s="214" t="s">
        <v>510</v>
      </c>
      <c r="B93" s="201" t="s">
        <v>511</v>
      </c>
      <c r="C93" s="285">
        <f>+C68+C92</f>
        <v>4003879343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790027165</v>
      </c>
    </row>
    <row r="97" spans="1:3" ht="12" customHeight="1" x14ac:dyDescent="0.2">
      <c r="A97" s="215" t="s">
        <v>99</v>
      </c>
      <c r="B97" s="7" t="s">
        <v>51</v>
      </c>
      <c r="C97" s="1215">
        <f>50032580+386400-969527-4699427-457270</f>
        <v>44292756</v>
      </c>
    </row>
    <row r="98" spans="1:3" ht="12" customHeight="1" x14ac:dyDescent="0.2">
      <c r="A98" s="208" t="s">
        <v>100</v>
      </c>
      <c r="B98" s="5" t="s">
        <v>148</v>
      </c>
      <c r="C98" s="1213">
        <f>8216281+67620-167575-1270081+457270</f>
        <v>7303515</v>
      </c>
    </row>
    <row r="99" spans="1:3" ht="12" customHeight="1" x14ac:dyDescent="0.2">
      <c r="A99" s="208" t="s">
        <v>101</v>
      </c>
      <c r="B99" s="5" t="s">
        <v>124</v>
      </c>
      <c r="C99" s="1216">
        <f>307535372-649147+18509+2023532+17272317-9488453+14216853</f>
        <v>330928983</v>
      </c>
    </row>
    <row r="100" spans="1:3" ht="12" customHeight="1" x14ac:dyDescent="0.2">
      <c r="A100" s="208" t="s">
        <v>102</v>
      </c>
      <c r="B100" s="8" t="s">
        <v>149</v>
      </c>
      <c r="C100" s="1207">
        <v>61300000</v>
      </c>
    </row>
    <row r="101" spans="1:3" ht="12" customHeight="1" x14ac:dyDescent="0.2">
      <c r="A101" s="208" t="s">
        <v>113</v>
      </c>
      <c r="B101" s="16" t="s">
        <v>150</v>
      </c>
      <c r="C101" s="1207">
        <f>SUM(C102:C113)</f>
        <v>204062634</v>
      </c>
    </row>
    <row r="102" spans="1:3" ht="12" customHeight="1" x14ac:dyDescent="0.2">
      <c r="A102" s="208" t="s">
        <v>103</v>
      </c>
      <c r="B102" s="5" t="s">
        <v>512</v>
      </c>
      <c r="C102" s="1207">
        <v>792176</v>
      </c>
    </row>
    <row r="103" spans="1:3" ht="12" customHeight="1" x14ac:dyDescent="0.2">
      <c r="A103" s="208" t="s">
        <v>104</v>
      </c>
      <c r="B103" s="61" t="s">
        <v>461</v>
      </c>
      <c r="C103" s="1207"/>
    </row>
    <row r="104" spans="1:3" ht="12" customHeight="1" x14ac:dyDescent="0.2">
      <c r="A104" s="208" t="s">
        <v>114</v>
      </c>
      <c r="B104" s="61" t="s">
        <v>462</v>
      </c>
      <c r="C104" s="1207"/>
    </row>
    <row r="105" spans="1:3" ht="12" customHeight="1" x14ac:dyDescent="0.2">
      <c r="A105" s="208" t="s">
        <v>115</v>
      </c>
      <c r="B105" s="61" t="s">
        <v>299</v>
      </c>
      <c r="C105" s="1207"/>
    </row>
    <row r="106" spans="1:3" ht="12" customHeight="1" x14ac:dyDescent="0.2">
      <c r="A106" s="208" t="s">
        <v>116</v>
      </c>
      <c r="B106" s="62" t="s">
        <v>300</v>
      </c>
      <c r="C106" s="1207"/>
    </row>
    <row r="107" spans="1:3" ht="12" customHeight="1" x14ac:dyDescent="0.2">
      <c r="A107" s="208" t="s">
        <v>117</v>
      </c>
      <c r="B107" s="62" t="s">
        <v>301</v>
      </c>
      <c r="C107" s="1207"/>
    </row>
    <row r="108" spans="1:3" ht="12" customHeight="1" x14ac:dyDescent="0.2">
      <c r="A108" s="208" t="s">
        <v>119</v>
      </c>
      <c r="B108" s="61" t="s">
        <v>302</v>
      </c>
      <c r="C108" s="1207">
        <f>526000+935000</f>
        <v>1461000</v>
      </c>
    </row>
    <row r="109" spans="1:3" ht="12" customHeight="1" x14ac:dyDescent="0.2">
      <c r="A109" s="208" t="s">
        <v>151</v>
      </c>
      <c r="B109" s="61" t="s">
        <v>303</v>
      </c>
      <c r="C109" s="592"/>
    </row>
    <row r="110" spans="1:3" ht="12" customHeight="1" x14ac:dyDescent="0.2">
      <c r="A110" s="208" t="s">
        <v>297</v>
      </c>
      <c r="B110" s="62" t="s">
        <v>304</v>
      </c>
      <c r="C110" s="1207"/>
    </row>
    <row r="111" spans="1:3" ht="12" customHeight="1" x14ac:dyDescent="0.2">
      <c r="A111" s="216" t="s">
        <v>298</v>
      </c>
      <c r="B111" s="63" t="s">
        <v>305</v>
      </c>
      <c r="C111" s="1207"/>
    </row>
    <row r="112" spans="1:3" ht="12" customHeight="1" x14ac:dyDescent="0.2">
      <c r="A112" s="208" t="s">
        <v>463</v>
      </c>
      <c r="B112" s="63" t="s">
        <v>306</v>
      </c>
      <c r="C112" s="1207"/>
    </row>
    <row r="113" spans="1:3" ht="12" customHeight="1" x14ac:dyDescent="0.2">
      <c r="A113" s="208" t="s">
        <v>464</v>
      </c>
      <c r="B113" s="62" t="s">
        <v>307</v>
      </c>
      <c r="C113" s="1206">
        <f>201809461-3</f>
        <v>201809458</v>
      </c>
    </row>
    <row r="114" spans="1:3" ht="12" customHeight="1" x14ac:dyDescent="0.2">
      <c r="A114" s="208" t="s">
        <v>465</v>
      </c>
      <c r="B114" s="8" t="s">
        <v>52</v>
      </c>
      <c r="C114" s="1206">
        <f>SUM(C115:C116)</f>
        <v>142139277</v>
      </c>
    </row>
    <row r="115" spans="1:3" ht="12" customHeight="1" x14ac:dyDescent="0.2">
      <c r="A115" s="209" t="s">
        <v>466</v>
      </c>
      <c r="B115" s="5" t="s">
        <v>513</v>
      </c>
      <c r="C115" s="1216">
        <f>20000000+10207308-13229384-322815+29863551-32000+769709+109500</f>
        <v>47365869</v>
      </c>
    </row>
    <row r="116" spans="1:3" ht="12" customHeight="1" thickBot="1" x14ac:dyDescent="0.25">
      <c r="A116" s="217" t="s">
        <v>468</v>
      </c>
      <c r="B116" s="64" t="s">
        <v>514</v>
      </c>
      <c r="C116" s="1217">
        <f>113240838-1722008-810685-253737-15000000+11503705-12184705</f>
        <v>94773408</v>
      </c>
    </row>
    <row r="117" spans="1:3" ht="12" customHeight="1" thickBot="1" x14ac:dyDescent="0.25">
      <c r="A117" s="25" t="s">
        <v>22</v>
      </c>
      <c r="B117" s="22" t="s">
        <v>308</v>
      </c>
      <c r="C117" s="282">
        <f>+C118+C120+C122</f>
        <v>1170168559</v>
      </c>
    </row>
    <row r="118" spans="1:3" ht="12" customHeight="1" x14ac:dyDescent="0.2">
      <c r="A118" s="207" t="s">
        <v>105</v>
      </c>
      <c r="B118" s="5" t="s">
        <v>172</v>
      </c>
      <c r="C118" s="1218">
        <f>648561219-2000000+109147+6000000+1000000-2097540-15972467-727553</f>
        <v>634872806</v>
      </c>
    </row>
    <row r="119" spans="1:3" ht="12" customHeight="1" x14ac:dyDescent="0.2">
      <c r="A119" s="207" t="s">
        <v>106</v>
      </c>
      <c r="B119" s="9" t="s">
        <v>312</v>
      </c>
      <c r="C119" s="1218">
        <f>135288734+2634996+425334254+5408883+691900+6000000-2533650-1843756</f>
        <v>570981361</v>
      </c>
    </row>
    <row r="120" spans="1:3" ht="12" customHeight="1" x14ac:dyDescent="0.2">
      <c r="A120" s="207" t="s">
        <v>107</v>
      </c>
      <c r="B120" s="9" t="s">
        <v>152</v>
      </c>
      <c r="C120" s="1213">
        <f>260935796+677185+322815+3524000+262957237</f>
        <v>528417033</v>
      </c>
    </row>
    <row r="121" spans="1:3" ht="12" customHeight="1" x14ac:dyDescent="0.2">
      <c r="A121" s="207" t="s">
        <v>108</v>
      </c>
      <c r="B121" s="9" t="s">
        <v>313</v>
      </c>
      <c r="C121" s="1213">
        <f>80112238+12241160+193078749</f>
        <v>285432147</v>
      </c>
    </row>
    <row r="122" spans="1:3" ht="12" customHeight="1" x14ac:dyDescent="0.2">
      <c r="A122" s="207" t="s">
        <v>109</v>
      </c>
      <c r="B122" s="114" t="s">
        <v>174</v>
      </c>
      <c r="C122" s="1207">
        <f>SUM(C123:C130)</f>
        <v>6878720</v>
      </c>
    </row>
    <row r="123" spans="1:3" ht="12" customHeight="1" x14ac:dyDescent="0.2">
      <c r="A123" s="207" t="s">
        <v>118</v>
      </c>
      <c r="B123" s="113" t="s">
        <v>375</v>
      </c>
      <c r="C123" s="106"/>
    </row>
    <row r="124" spans="1:3" ht="12" customHeight="1" x14ac:dyDescent="0.2">
      <c r="A124" s="207" t="s">
        <v>120</v>
      </c>
      <c r="B124" s="189" t="s">
        <v>318</v>
      </c>
      <c r="C124" s="106"/>
    </row>
    <row r="125" spans="1:3" ht="12" customHeight="1" x14ac:dyDescent="0.2">
      <c r="A125" s="207" t="s">
        <v>153</v>
      </c>
      <c r="B125" s="62" t="s">
        <v>301</v>
      </c>
      <c r="C125" s="106"/>
    </row>
    <row r="126" spans="1:3" ht="12" customHeight="1" x14ac:dyDescent="0.2">
      <c r="A126" s="207" t="s">
        <v>154</v>
      </c>
      <c r="B126" s="62" t="s">
        <v>317</v>
      </c>
      <c r="C126" s="106"/>
    </row>
    <row r="127" spans="1:3" ht="12" customHeight="1" x14ac:dyDescent="0.2">
      <c r="A127" s="207" t="s">
        <v>155</v>
      </c>
      <c r="B127" s="62" t="s">
        <v>316</v>
      </c>
      <c r="C127" s="106"/>
    </row>
    <row r="128" spans="1:3" ht="12" customHeight="1" x14ac:dyDescent="0.2">
      <c r="A128" s="207" t="s">
        <v>309</v>
      </c>
      <c r="B128" s="62" t="s">
        <v>304</v>
      </c>
      <c r="C128" s="106"/>
    </row>
    <row r="129" spans="1:9" ht="12" customHeight="1" x14ac:dyDescent="0.2">
      <c r="A129" s="207" t="s">
        <v>310</v>
      </c>
      <c r="B129" s="62" t="s">
        <v>315</v>
      </c>
      <c r="C129" s="106"/>
    </row>
    <row r="130" spans="1:9" ht="12" customHeight="1" thickBot="1" x14ac:dyDescent="0.25">
      <c r="A130" s="216" t="s">
        <v>311</v>
      </c>
      <c r="B130" s="62" t="s">
        <v>314</v>
      </c>
      <c r="C130" s="1207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470</v>
      </c>
      <c r="C131" s="282">
        <f>+C96+C117</f>
        <v>1960195724</v>
      </c>
      <c r="D131" s="274"/>
    </row>
    <row r="132" spans="1:9" ht="12" customHeight="1" thickBot="1" x14ac:dyDescent="0.25">
      <c r="A132" s="25" t="s">
        <v>24</v>
      </c>
      <c r="B132" s="57" t="s">
        <v>471</v>
      </c>
      <c r="C132" s="282">
        <f>+C133+C134+C135</f>
        <v>722563844</v>
      </c>
    </row>
    <row r="133" spans="1:9" s="1010" customFormat="1" ht="12" customHeight="1" x14ac:dyDescent="0.2">
      <c r="A133" s="207" t="s">
        <v>210</v>
      </c>
      <c r="B133" s="6" t="s">
        <v>515</v>
      </c>
      <c r="C133" s="1206">
        <v>22563844</v>
      </c>
    </row>
    <row r="134" spans="1:9" ht="12" customHeight="1" x14ac:dyDescent="0.2">
      <c r="A134" s="207" t="s">
        <v>213</v>
      </c>
      <c r="B134" s="6" t="s">
        <v>473</v>
      </c>
      <c r="C134" s="106">
        <v>700000000</v>
      </c>
    </row>
    <row r="135" spans="1:9" ht="12" customHeight="1" thickBot="1" x14ac:dyDescent="0.25">
      <c r="A135" s="216" t="s">
        <v>214</v>
      </c>
      <c r="B135" s="4" t="s">
        <v>516</v>
      </c>
      <c r="C135" s="106"/>
    </row>
    <row r="136" spans="1:9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</row>
    <row r="137" spans="1:9" ht="12" customHeight="1" x14ac:dyDescent="0.2">
      <c r="A137" s="207" t="s">
        <v>92</v>
      </c>
      <c r="B137" s="6" t="s">
        <v>476</v>
      </c>
      <c r="C137" s="106"/>
    </row>
    <row r="138" spans="1:9" ht="12" customHeight="1" x14ac:dyDescent="0.2">
      <c r="A138" s="207" t="s">
        <v>93</v>
      </c>
      <c r="B138" s="6" t="s">
        <v>477</v>
      </c>
      <c r="C138" s="106"/>
    </row>
    <row r="139" spans="1:9" ht="12" customHeight="1" x14ac:dyDescent="0.2">
      <c r="A139" s="207" t="s">
        <v>94</v>
      </c>
      <c r="B139" s="6" t="s">
        <v>478</v>
      </c>
      <c r="C139" s="106"/>
    </row>
    <row r="140" spans="1:9" ht="12" customHeight="1" x14ac:dyDescent="0.2">
      <c r="A140" s="207" t="s">
        <v>140</v>
      </c>
      <c r="B140" s="6" t="s">
        <v>517</v>
      </c>
      <c r="C140" s="106"/>
    </row>
    <row r="141" spans="1:9" ht="12" customHeight="1" x14ac:dyDescent="0.2">
      <c r="A141" s="207" t="s">
        <v>141</v>
      </c>
      <c r="B141" s="6" t="s">
        <v>480</v>
      </c>
      <c r="C141" s="106"/>
    </row>
    <row r="142" spans="1:9" s="1010" customFormat="1" ht="12" customHeight="1" thickBot="1" x14ac:dyDescent="0.25">
      <c r="A142" s="216" t="s">
        <v>142</v>
      </c>
      <c r="B142" s="4" t="s">
        <v>481</v>
      </c>
      <c r="C142" s="106"/>
    </row>
    <row r="143" spans="1:9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I143" s="105"/>
    </row>
    <row r="144" spans="1:9" x14ac:dyDescent="0.2">
      <c r="A144" s="207" t="s">
        <v>95</v>
      </c>
      <c r="B144" s="6" t="s">
        <v>319</v>
      </c>
      <c r="C144" s="106"/>
    </row>
    <row r="145" spans="1:4" ht="12" customHeight="1" x14ac:dyDescent="0.2">
      <c r="A145" s="207" t="s">
        <v>96</v>
      </c>
      <c r="B145" s="6" t="s">
        <v>320</v>
      </c>
      <c r="C145" s="1206">
        <f>45672254</f>
        <v>45672254</v>
      </c>
    </row>
    <row r="146" spans="1:4" s="1010" customFormat="1" ht="12" customHeight="1" x14ac:dyDescent="0.2">
      <c r="A146" s="207" t="s">
        <v>233</v>
      </c>
      <c r="B146" s="6" t="s">
        <v>483</v>
      </c>
      <c r="C146" s="106"/>
    </row>
    <row r="147" spans="1:4" s="1010" customFormat="1" ht="12" customHeight="1" thickBot="1" x14ac:dyDescent="0.25">
      <c r="A147" s="216" t="s">
        <v>234</v>
      </c>
      <c r="B147" s="4" t="s">
        <v>338</v>
      </c>
      <c r="C147" s="106"/>
    </row>
    <row r="148" spans="1:4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</row>
    <row r="149" spans="1:4" s="1010" customFormat="1" ht="12" customHeight="1" x14ac:dyDescent="0.2">
      <c r="A149" s="207" t="s">
        <v>97</v>
      </c>
      <c r="B149" s="6" t="s">
        <v>485</v>
      </c>
      <c r="C149" s="106"/>
    </row>
    <row r="150" spans="1:4" s="1010" customFormat="1" ht="12" customHeight="1" x14ac:dyDescent="0.2">
      <c r="A150" s="207" t="s">
        <v>98</v>
      </c>
      <c r="B150" s="6" t="s">
        <v>486</v>
      </c>
      <c r="C150" s="106"/>
    </row>
    <row r="151" spans="1:4" s="1010" customFormat="1" ht="12" customHeight="1" x14ac:dyDescent="0.2">
      <c r="A151" s="207" t="s">
        <v>245</v>
      </c>
      <c r="B151" s="6" t="s">
        <v>487</v>
      </c>
      <c r="C151" s="106"/>
    </row>
    <row r="152" spans="1:4" ht="12.75" customHeight="1" x14ac:dyDescent="0.2">
      <c r="A152" s="207" t="s">
        <v>246</v>
      </c>
      <c r="B152" s="6" t="s">
        <v>519</v>
      </c>
      <c r="C152" s="106"/>
    </row>
    <row r="153" spans="1:4" ht="12.75" customHeight="1" thickBot="1" x14ac:dyDescent="0.25">
      <c r="A153" s="216" t="s">
        <v>489</v>
      </c>
      <c r="B153" s="4" t="s">
        <v>490</v>
      </c>
      <c r="C153" s="107"/>
    </row>
    <row r="154" spans="1:4" ht="12.75" customHeight="1" thickBot="1" x14ac:dyDescent="0.25">
      <c r="A154" s="264" t="s">
        <v>28</v>
      </c>
      <c r="B154" s="57" t="s">
        <v>491</v>
      </c>
      <c r="C154" s="292"/>
    </row>
    <row r="155" spans="1:4" ht="12" customHeight="1" thickBot="1" x14ac:dyDescent="0.25">
      <c r="A155" s="264" t="s">
        <v>29</v>
      </c>
      <c r="B155" s="57" t="s">
        <v>492</v>
      </c>
      <c r="C155" s="292"/>
    </row>
    <row r="156" spans="1:4" ht="15" customHeight="1" thickBot="1" x14ac:dyDescent="0.25">
      <c r="A156" s="25" t="s">
        <v>30</v>
      </c>
      <c r="B156" s="57" t="s">
        <v>493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494</v>
      </c>
      <c r="C157" s="293">
        <f>+C131+C156</f>
        <v>2728431822</v>
      </c>
      <c r="D157" s="1008"/>
    </row>
    <row r="158" spans="1:4" ht="15" customHeight="1" thickBot="1" x14ac:dyDescent="0.25"/>
    <row r="159" spans="1:4" ht="14.25" customHeight="1" thickBot="1" x14ac:dyDescent="0.25">
      <c r="A159" s="102" t="s">
        <v>520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8" max="2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3"/>
  <dimension ref="A1:K159"/>
  <sheetViews>
    <sheetView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1006" hidden="1" customWidth="1"/>
    <col min="5" max="5" width="0" style="1006" hidden="1" customWidth="1"/>
    <col min="6" max="16384" width="9.33203125" style="1006"/>
  </cols>
  <sheetData>
    <row r="1" spans="1:5" x14ac:dyDescent="0.2">
      <c r="A1" s="1503" t="str">
        <f>CONCATENATE("13. melléklet"," ",ALAPADATOK!A7," ",ALAPADATOK!B7," ",ALAPADATOK!C7," ",ALAPADATOK!D7," ",ALAPADATOK!E7," ",ALAPADATOK!F7," ",ALAPADATOK!G7," ",ALAPADATOK!H7)</f>
        <v>13. melléklet a  / 2020. (  ) önkormányzati rendelethez</v>
      </c>
      <c r="B1" s="1503"/>
      <c r="C1" s="1503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5" s="39" customFormat="1" ht="16.5" thickBot="1" x14ac:dyDescent="0.25">
      <c r="A4" s="83" t="s">
        <v>165</v>
      </c>
      <c r="B4" s="163" t="s">
        <v>377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555</v>
      </c>
    </row>
    <row r="6" spans="1:5" ht="13.5" thickBot="1" x14ac:dyDescent="0.25">
      <c r="A6" s="184" t="s">
        <v>167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196187360</v>
      </c>
      <c r="D9" s="1028">
        <f>'[2]1.3.sz.mell.'!D11</f>
        <v>183403360</v>
      </c>
      <c r="E9" s="986">
        <f>C9-D9</f>
        <v>12784000</v>
      </c>
    </row>
    <row r="10" spans="1:5" s="41" customFormat="1" ht="12" customHeight="1" x14ac:dyDescent="0.2">
      <c r="A10" s="207" t="s">
        <v>99</v>
      </c>
      <c r="B10" s="193" t="s">
        <v>195</v>
      </c>
      <c r="C10" s="284"/>
      <c r="D10" s="1028">
        <f>'[2]1.3.sz.mell.'!D12</f>
        <v>0</v>
      </c>
      <c r="E10" s="986">
        <f t="shared" ref="E10:E75" si="0">C10-D10</f>
        <v>0</v>
      </c>
    </row>
    <row r="11" spans="1:5" s="42" customFormat="1" ht="12" customHeight="1" x14ac:dyDescent="0.2">
      <c r="A11" s="208" t="s">
        <v>100</v>
      </c>
      <c r="B11" s="194" t="s">
        <v>196</v>
      </c>
      <c r="C11" s="106"/>
      <c r="D11" s="1028">
        <f>'[2]1.3.sz.mell.'!D13</f>
        <v>0</v>
      </c>
      <c r="E11" s="986">
        <f t="shared" si="0"/>
        <v>0</v>
      </c>
    </row>
    <row r="12" spans="1:5" s="42" customFormat="1" ht="12" customHeight="1" x14ac:dyDescent="0.2">
      <c r="A12" s="208" t="s">
        <v>101</v>
      </c>
      <c r="B12" s="194" t="s">
        <v>998</v>
      </c>
      <c r="C12" s="1206">
        <f>SUM(C13:C14)</f>
        <v>196187360</v>
      </c>
      <c r="D12" s="1028">
        <f>'[2]1.3.sz.mell.'!D14</f>
        <v>183403360</v>
      </c>
      <c r="E12" s="986">
        <f t="shared" si="0"/>
        <v>12784000</v>
      </c>
    </row>
    <row r="13" spans="1:5" s="42" customFormat="1" ht="12" customHeight="1" x14ac:dyDescent="0.2">
      <c r="A13" s="208" t="s">
        <v>996</v>
      </c>
      <c r="B13" s="194" t="s">
        <v>999</v>
      </c>
      <c r="C13" s="1213">
        <f>183403360+12784000</f>
        <v>196187360</v>
      </c>
      <c r="D13" s="1028"/>
      <c r="E13" s="986"/>
    </row>
    <row r="14" spans="1:5" s="42" customFormat="1" ht="12" customHeight="1" x14ac:dyDescent="0.2">
      <c r="A14" s="208" t="s">
        <v>997</v>
      </c>
      <c r="B14" s="194" t="s">
        <v>1000</v>
      </c>
      <c r="C14" s="106"/>
      <c r="D14" s="1028"/>
      <c r="E14" s="986"/>
    </row>
    <row r="15" spans="1:5" s="42" customFormat="1" ht="12" customHeight="1" x14ac:dyDescent="0.2">
      <c r="A15" s="208" t="s">
        <v>102</v>
      </c>
      <c r="B15" s="194" t="s">
        <v>198</v>
      </c>
      <c r="C15" s="106"/>
      <c r="D15" s="1028">
        <f>'[2]1.3.sz.mell.'!D17</f>
        <v>0</v>
      </c>
      <c r="E15" s="986">
        <f t="shared" si="0"/>
        <v>0</v>
      </c>
    </row>
    <row r="16" spans="1:5" s="42" customFormat="1" ht="12" customHeight="1" x14ac:dyDescent="0.2">
      <c r="A16" s="208" t="s">
        <v>125</v>
      </c>
      <c r="B16" s="194" t="s">
        <v>507</v>
      </c>
      <c r="C16" s="1206"/>
      <c r="D16" s="1028">
        <f>'[2]1.3.sz.mell.'!D18</f>
        <v>0</v>
      </c>
      <c r="E16" s="986">
        <f t="shared" si="0"/>
        <v>0</v>
      </c>
    </row>
    <row r="17" spans="1:5" s="41" customFormat="1" ht="12" customHeight="1" thickBot="1" x14ac:dyDescent="0.25">
      <c r="A17" s="209" t="s">
        <v>103</v>
      </c>
      <c r="B17" s="195" t="s">
        <v>450</v>
      </c>
      <c r="C17" s="106"/>
      <c r="D17" s="1028">
        <f>'[2]1.3.sz.mell.'!D19</f>
        <v>0</v>
      </c>
      <c r="E17" s="986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116898785</v>
      </c>
      <c r="D18" s="1028">
        <f>'[2]1.3.sz.mell.'!D20</f>
        <v>113272668</v>
      </c>
      <c r="E18" s="986">
        <f t="shared" si="0"/>
        <v>3626117</v>
      </c>
    </row>
    <row r="19" spans="1:5" s="41" customFormat="1" ht="12" customHeight="1" x14ac:dyDescent="0.2">
      <c r="A19" s="207" t="s">
        <v>105</v>
      </c>
      <c r="B19" s="193" t="s">
        <v>200</v>
      </c>
      <c r="C19" s="284"/>
      <c r="D19" s="1028">
        <f>'[2]1.3.sz.mell.'!D21</f>
        <v>0</v>
      </c>
      <c r="E19" s="986">
        <f t="shared" si="0"/>
        <v>0</v>
      </c>
    </row>
    <row r="20" spans="1:5" s="41" customFormat="1" ht="12" customHeight="1" x14ac:dyDescent="0.2">
      <c r="A20" s="208" t="s">
        <v>106</v>
      </c>
      <c r="B20" s="194" t="s">
        <v>201</v>
      </c>
      <c r="C20" s="106"/>
      <c r="D20" s="1028">
        <f>'[2]1.3.sz.mell.'!D22</f>
        <v>0</v>
      </c>
      <c r="E20" s="986">
        <f t="shared" si="0"/>
        <v>0</v>
      </c>
    </row>
    <row r="21" spans="1:5" s="41" customFormat="1" ht="12" customHeight="1" x14ac:dyDescent="0.2">
      <c r="A21" s="208" t="s">
        <v>107</v>
      </c>
      <c r="B21" s="194" t="s">
        <v>369</v>
      </c>
      <c r="C21" s="106"/>
      <c r="D21" s="1028">
        <f>'[2]1.3.sz.mell.'!D23</f>
        <v>0</v>
      </c>
      <c r="E21" s="986">
        <f t="shared" si="0"/>
        <v>0</v>
      </c>
    </row>
    <row r="22" spans="1:5" s="41" customFormat="1" ht="12" customHeight="1" x14ac:dyDescent="0.2">
      <c r="A22" s="208" t="s">
        <v>108</v>
      </c>
      <c r="B22" s="194" t="s">
        <v>370</v>
      </c>
      <c r="C22" s="106"/>
      <c r="D22" s="1028">
        <f>'[2]1.3.sz.mell.'!D24</f>
        <v>0</v>
      </c>
      <c r="E22" s="986">
        <f t="shared" si="0"/>
        <v>0</v>
      </c>
    </row>
    <row r="23" spans="1:5" s="41" customFormat="1" ht="12" customHeight="1" x14ac:dyDescent="0.2">
      <c r="A23" s="208" t="s">
        <v>109</v>
      </c>
      <c r="B23" s="194" t="s">
        <v>202</v>
      </c>
      <c r="C23" s="1213">
        <f>113272668+557865+3068252</f>
        <v>116898785</v>
      </c>
      <c r="D23" s="1028">
        <f>'[2]1.3.sz.mell.'!D25</f>
        <v>113272668</v>
      </c>
      <c r="E23" s="986">
        <f t="shared" si="0"/>
        <v>3626117</v>
      </c>
    </row>
    <row r="24" spans="1:5" s="42" customFormat="1" ht="12" customHeight="1" thickBot="1" x14ac:dyDescent="0.25">
      <c r="A24" s="209" t="s">
        <v>118</v>
      </c>
      <c r="B24" s="195" t="s">
        <v>203</v>
      </c>
      <c r="C24" s="1207"/>
      <c r="D24" s="1028">
        <f>'[2]1.3.sz.mell.'!D26</f>
        <v>0</v>
      </c>
      <c r="E24" s="986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5200000</v>
      </c>
      <c r="D25" s="1028">
        <f>'[2]1.3.sz.mell.'!D27</f>
        <v>0</v>
      </c>
      <c r="E25" s="986">
        <f t="shared" si="0"/>
        <v>5200000</v>
      </c>
    </row>
    <row r="26" spans="1:5" s="42" customFormat="1" ht="12" customHeight="1" x14ac:dyDescent="0.2">
      <c r="A26" s="207" t="s">
        <v>88</v>
      </c>
      <c r="B26" s="193" t="s">
        <v>205</v>
      </c>
      <c r="C26" s="284"/>
      <c r="D26" s="1028">
        <f>'[2]1.3.sz.mell.'!D28</f>
        <v>0</v>
      </c>
      <c r="E26" s="986">
        <f t="shared" si="0"/>
        <v>0</v>
      </c>
    </row>
    <row r="27" spans="1:5" s="41" customFormat="1" ht="12" customHeight="1" x14ac:dyDescent="0.2">
      <c r="A27" s="208" t="s">
        <v>89</v>
      </c>
      <c r="B27" s="194" t="s">
        <v>206</v>
      </c>
      <c r="C27" s="106"/>
      <c r="D27" s="1028">
        <f>'[2]1.3.sz.mell.'!D29</f>
        <v>0</v>
      </c>
      <c r="E27" s="986">
        <f t="shared" si="0"/>
        <v>0</v>
      </c>
    </row>
    <row r="28" spans="1:5" s="42" customFormat="1" ht="12" customHeight="1" x14ac:dyDescent="0.2">
      <c r="A28" s="208" t="s">
        <v>90</v>
      </c>
      <c r="B28" s="194" t="s">
        <v>371</v>
      </c>
      <c r="C28" s="106"/>
      <c r="D28" s="1028">
        <f>'[2]1.3.sz.mell.'!D30</f>
        <v>0</v>
      </c>
      <c r="E28" s="986">
        <f t="shared" si="0"/>
        <v>0</v>
      </c>
    </row>
    <row r="29" spans="1:5" s="42" customFormat="1" ht="12" customHeight="1" x14ac:dyDescent="0.2">
      <c r="A29" s="208" t="s">
        <v>91</v>
      </c>
      <c r="B29" s="194" t="s">
        <v>372</v>
      </c>
      <c r="C29" s="106"/>
      <c r="D29" s="1028">
        <f>'[2]1.3.sz.mell.'!D31</f>
        <v>0</v>
      </c>
      <c r="E29" s="986">
        <f t="shared" si="0"/>
        <v>0</v>
      </c>
    </row>
    <row r="30" spans="1:5" s="42" customFormat="1" ht="12" customHeight="1" x14ac:dyDescent="0.2">
      <c r="A30" s="208" t="s">
        <v>136</v>
      </c>
      <c r="B30" s="194" t="s">
        <v>207</v>
      </c>
      <c r="C30" s="1213">
        <v>5200000</v>
      </c>
      <c r="D30" s="1028">
        <f>'[2]1.3.sz.mell.'!D32</f>
        <v>0</v>
      </c>
      <c r="E30" s="986">
        <f t="shared" si="0"/>
        <v>5200000</v>
      </c>
    </row>
    <row r="31" spans="1:5" s="42" customFormat="1" ht="12" customHeight="1" thickBot="1" x14ac:dyDescent="0.25">
      <c r="A31" s="209" t="s">
        <v>137</v>
      </c>
      <c r="B31" s="195" t="s">
        <v>208</v>
      </c>
      <c r="C31" s="1207"/>
      <c r="D31" s="1028">
        <f>'[2]1.3.sz.mell.'!D33</f>
        <v>0</v>
      </c>
      <c r="E31" s="986">
        <f t="shared" si="0"/>
        <v>0</v>
      </c>
    </row>
    <row r="32" spans="1:5" s="42" customFormat="1" ht="12" customHeight="1" thickBot="1" x14ac:dyDescent="0.25">
      <c r="A32" s="25" t="s">
        <v>138</v>
      </c>
      <c r="B32" s="18" t="s">
        <v>655</v>
      </c>
      <c r="C32" s="285">
        <f>+C33+C37+C38+C39</f>
        <v>0</v>
      </c>
      <c r="D32" s="1028">
        <f>'[2]1.3.sz.mell.'!D34</f>
        <v>0</v>
      </c>
      <c r="E32" s="986">
        <f t="shared" si="0"/>
        <v>0</v>
      </c>
    </row>
    <row r="33" spans="1:5" s="42" customFormat="1" ht="12" customHeight="1" x14ac:dyDescent="0.2">
      <c r="A33" s="207" t="s">
        <v>210</v>
      </c>
      <c r="B33" s="193" t="s">
        <v>651</v>
      </c>
      <c r="C33" s="299">
        <f>SUM(C34:C35)</f>
        <v>0</v>
      </c>
      <c r="D33" s="1028">
        <f>'[2]1.3.sz.mell.'!D35</f>
        <v>0</v>
      </c>
      <c r="E33" s="986">
        <f t="shared" si="0"/>
        <v>0</v>
      </c>
    </row>
    <row r="34" spans="1:5" s="42" customFormat="1" ht="12" customHeight="1" x14ac:dyDescent="0.2">
      <c r="A34" s="208" t="s">
        <v>211</v>
      </c>
      <c r="B34" s="194" t="s">
        <v>216</v>
      </c>
      <c r="C34" s="106"/>
      <c r="D34" s="1028">
        <f>'[2]1.3.sz.mell.'!D36</f>
        <v>0</v>
      </c>
      <c r="E34" s="986">
        <f t="shared" si="0"/>
        <v>0</v>
      </c>
    </row>
    <row r="35" spans="1:5" s="42" customFormat="1" ht="12" customHeight="1" x14ac:dyDescent="0.2">
      <c r="A35" s="208" t="s">
        <v>212</v>
      </c>
      <c r="B35" s="251" t="s">
        <v>650</v>
      </c>
      <c r="C35" s="106"/>
      <c r="D35" s="1028">
        <f>'[2]1.3.sz.mell.'!D37</f>
        <v>0</v>
      </c>
      <c r="E35" s="986">
        <f t="shared" si="0"/>
        <v>0</v>
      </c>
    </row>
    <row r="36" spans="1:5" s="42" customFormat="1" ht="12" customHeight="1" x14ac:dyDescent="0.2">
      <c r="A36" s="208" t="s">
        <v>213</v>
      </c>
      <c r="B36" s="194" t="s">
        <v>537</v>
      </c>
      <c r="C36" s="106"/>
      <c r="D36" s="1028">
        <f>'[2]1.3.sz.mell.'!D38</f>
        <v>0</v>
      </c>
      <c r="E36" s="986">
        <f t="shared" si="0"/>
        <v>0</v>
      </c>
    </row>
    <row r="37" spans="1:5" s="42" customFormat="1" ht="12" customHeight="1" x14ac:dyDescent="0.2">
      <c r="A37" s="208" t="s">
        <v>538</v>
      </c>
      <c r="B37" s="194" t="s">
        <v>217</v>
      </c>
      <c r="C37" s="106"/>
      <c r="D37" s="1028">
        <f>'[2]1.3.sz.mell.'!D39</f>
        <v>0</v>
      </c>
      <c r="E37" s="986">
        <f t="shared" si="0"/>
        <v>0</v>
      </c>
    </row>
    <row r="38" spans="1:5" s="42" customFormat="1" ht="12" customHeight="1" x14ac:dyDescent="0.2">
      <c r="A38" s="208" t="s">
        <v>215</v>
      </c>
      <c r="B38" s="194" t="s">
        <v>218</v>
      </c>
      <c r="C38" s="106"/>
      <c r="D38" s="1028">
        <f>'[2]1.3.sz.mell.'!D40</f>
        <v>0</v>
      </c>
      <c r="E38" s="986">
        <f t="shared" si="0"/>
        <v>0</v>
      </c>
    </row>
    <row r="39" spans="1:5" s="42" customFormat="1" ht="12" customHeight="1" thickBot="1" x14ac:dyDescent="0.25">
      <c r="A39" s="209" t="s">
        <v>539</v>
      </c>
      <c r="B39" s="195" t="s">
        <v>219</v>
      </c>
      <c r="C39" s="107"/>
      <c r="D39" s="1028">
        <f>'[2]1.3.sz.mell.'!D41</f>
        <v>0</v>
      </c>
      <c r="E39" s="986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451</v>
      </c>
      <c r="C40" s="282">
        <f>SUM(C41:C51)</f>
        <v>5405000</v>
      </c>
      <c r="D40" s="1028">
        <f>'[2]1.3.sz.mell.'!D42</f>
        <v>5405000</v>
      </c>
      <c r="E40" s="986">
        <f t="shared" si="0"/>
        <v>0</v>
      </c>
    </row>
    <row r="41" spans="1:5" s="42" customFormat="1" ht="12" customHeight="1" x14ac:dyDescent="0.2">
      <c r="A41" s="207" t="s">
        <v>92</v>
      </c>
      <c r="B41" s="193" t="s">
        <v>222</v>
      </c>
      <c r="C41" s="1218"/>
      <c r="D41" s="1028">
        <f>'[2]1.3.sz.mell.'!D43</f>
        <v>0</v>
      </c>
      <c r="E41" s="986">
        <f t="shared" si="0"/>
        <v>0</v>
      </c>
    </row>
    <row r="42" spans="1:5" s="42" customFormat="1" ht="12" customHeight="1" x14ac:dyDescent="0.2">
      <c r="A42" s="208" t="s">
        <v>93</v>
      </c>
      <c r="B42" s="194" t="s">
        <v>223</v>
      </c>
      <c r="C42" s="1206">
        <f>4303149-47244</f>
        <v>4255905</v>
      </c>
      <c r="D42" s="1028">
        <f>'[2]1.3.sz.mell.'!D44</f>
        <v>4255905</v>
      </c>
      <c r="E42" s="986">
        <f t="shared" si="0"/>
        <v>0</v>
      </c>
    </row>
    <row r="43" spans="1:5" s="42" customFormat="1" ht="12" customHeight="1" x14ac:dyDescent="0.2">
      <c r="A43" s="208" t="s">
        <v>94</v>
      </c>
      <c r="B43" s="194" t="s">
        <v>224</v>
      </c>
      <c r="C43" s="1206"/>
      <c r="D43" s="1028">
        <f>'[2]1.3.sz.mell.'!D45</f>
        <v>0</v>
      </c>
      <c r="E43" s="986">
        <f t="shared" si="0"/>
        <v>0</v>
      </c>
    </row>
    <row r="44" spans="1:5" s="42" customFormat="1" ht="12" customHeight="1" x14ac:dyDescent="0.2">
      <c r="A44" s="208" t="s">
        <v>140</v>
      </c>
      <c r="B44" s="194" t="s">
        <v>225</v>
      </c>
      <c r="C44" s="106"/>
      <c r="D44" s="1028">
        <f>'[2]1.3.sz.mell.'!D46</f>
        <v>0</v>
      </c>
      <c r="E44" s="986">
        <f t="shared" si="0"/>
        <v>0</v>
      </c>
    </row>
    <row r="45" spans="1:5" s="42" customFormat="1" ht="12" customHeight="1" x14ac:dyDescent="0.2">
      <c r="A45" s="208" t="s">
        <v>141</v>
      </c>
      <c r="B45" s="194" t="s">
        <v>226</v>
      </c>
      <c r="C45" s="106"/>
      <c r="D45" s="1028">
        <f>'[2]1.3.sz.mell.'!D47</f>
        <v>0</v>
      </c>
      <c r="E45" s="986">
        <f t="shared" si="0"/>
        <v>0</v>
      </c>
    </row>
    <row r="46" spans="1:5" s="42" customFormat="1" ht="12" customHeight="1" x14ac:dyDescent="0.2">
      <c r="A46" s="208" t="s">
        <v>142</v>
      </c>
      <c r="B46" s="194" t="s">
        <v>227</v>
      </c>
      <c r="C46" s="1206">
        <f>1161851-12756</f>
        <v>1149095</v>
      </c>
      <c r="D46" s="1028">
        <f>'[2]1.3.sz.mell.'!D48</f>
        <v>1149095</v>
      </c>
      <c r="E46" s="986">
        <f t="shared" si="0"/>
        <v>0</v>
      </c>
    </row>
    <row r="47" spans="1:5" s="42" customFormat="1" ht="12" customHeight="1" x14ac:dyDescent="0.2">
      <c r="A47" s="208" t="s">
        <v>143</v>
      </c>
      <c r="B47" s="194" t="s">
        <v>228</v>
      </c>
      <c r="C47" s="106"/>
      <c r="D47" s="1028">
        <f>'[2]1.3.sz.mell.'!D49</f>
        <v>0</v>
      </c>
      <c r="E47" s="986">
        <f t="shared" si="0"/>
        <v>0</v>
      </c>
    </row>
    <row r="48" spans="1:5" s="42" customFormat="1" ht="12" customHeight="1" x14ac:dyDescent="0.2">
      <c r="A48" s="208" t="s">
        <v>144</v>
      </c>
      <c r="B48" s="194" t="s">
        <v>229</v>
      </c>
      <c r="C48" s="106"/>
      <c r="D48" s="1028">
        <f>'[2]1.3.sz.mell.'!D50</f>
        <v>0</v>
      </c>
      <c r="E48" s="986">
        <f t="shared" si="0"/>
        <v>0</v>
      </c>
    </row>
    <row r="49" spans="1:5" s="42" customFormat="1" ht="12" customHeight="1" x14ac:dyDescent="0.2">
      <c r="A49" s="208" t="s">
        <v>220</v>
      </c>
      <c r="B49" s="194" t="s">
        <v>230</v>
      </c>
      <c r="C49" s="1206"/>
      <c r="D49" s="1028">
        <f>'[2]1.3.sz.mell.'!D51</f>
        <v>0</v>
      </c>
      <c r="E49" s="986">
        <f t="shared" si="0"/>
        <v>0</v>
      </c>
    </row>
    <row r="50" spans="1:5" s="42" customFormat="1" ht="12" customHeight="1" x14ac:dyDescent="0.2">
      <c r="A50" s="209" t="s">
        <v>221</v>
      </c>
      <c r="B50" s="195" t="s">
        <v>452</v>
      </c>
      <c r="C50" s="1207"/>
      <c r="D50" s="1028">
        <f>'[2]1.3.sz.mell.'!D52</f>
        <v>0</v>
      </c>
      <c r="E50" s="986">
        <f t="shared" si="0"/>
        <v>0</v>
      </c>
    </row>
    <row r="51" spans="1:5" s="42" customFormat="1" ht="12" customHeight="1" thickBot="1" x14ac:dyDescent="0.25">
      <c r="A51" s="209" t="s">
        <v>453</v>
      </c>
      <c r="B51" s="195" t="s">
        <v>231</v>
      </c>
      <c r="C51" s="1207"/>
      <c r="D51" s="1028">
        <f>'[2]1.3.sz.mell.'!D53</f>
        <v>0</v>
      </c>
      <c r="E51" s="986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232</v>
      </c>
      <c r="C52" s="282">
        <f>SUM(C53:C57)</f>
        <v>0</v>
      </c>
      <c r="D52" s="1028">
        <f>'[2]1.3.sz.mell.'!D54</f>
        <v>0</v>
      </c>
      <c r="E52" s="986">
        <f t="shared" si="0"/>
        <v>0</v>
      </c>
    </row>
    <row r="53" spans="1:5" s="42" customFormat="1" ht="12" customHeight="1" x14ac:dyDescent="0.2">
      <c r="A53" s="207" t="s">
        <v>95</v>
      </c>
      <c r="B53" s="193" t="s">
        <v>236</v>
      </c>
      <c r="C53" s="1208"/>
      <c r="D53" s="1028">
        <f>'[2]1.3.sz.mell.'!D55</f>
        <v>0</v>
      </c>
      <c r="E53" s="986">
        <f t="shared" si="0"/>
        <v>0</v>
      </c>
    </row>
    <row r="54" spans="1:5" s="42" customFormat="1" ht="12" customHeight="1" x14ac:dyDescent="0.2">
      <c r="A54" s="208" t="s">
        <v>96</v>
      </c>
      <c r="B54" s="194" t="s">
        <v>237</v>
      </c>
      <c r="C54" s="1206"/>
      <c r="D54" s="1028">
        <f>'[2]1.3.sz.mell.'!D56</f>
        <v>0</v>
      </c>
      <c r="E54" s="986">
        <f t="shared" si="0"/>
        <v>0</v>
      </c>
    </row>
    <row r="55" spans="1:5" s="42" customFormat="1" ht="12" customHeight="1" x14ac:dyDescent="0.2">
      <c r="A55" s="208" t="s">
        <v>233</v>
      </c>
      <c r="B55" s="194" t="s">
        <v>238</v>
      </c>
      <c r="C55" s="1206"/>
      <c r="D55" s="1028">
        <f>'[2]1.3.sz.mell.'!D57</f>
        <v>0</v>
      </c>
      <c r="E55" s="986">
        <f t="shared" si="0"/>
        <v>0</v>
      </c>
    </row>
    <row r="56" spans="1:5" s="42" customFormat="1" ht="12" customHeight="1" x14ac:dyDescent="0.2">
      <c r="A56" s="208" t="s">
        <v>234</v>
      </c>
      <c r="B56" s="194" t="s">
        <v>239</v>
      </c>
      <c r="C56" s="1206"/>
      <c r="D56" s="1028">
        <f>'[2]1.3.sz.mell.'!D58</f>
        <v>0</v>
      </c>
      <c r="E56" s="986">
        <f t="shared" si="0"/>
        <v>0</v>
      </c>
    </row>
    <row r="57" spans="1:5" s="42" customFormat="1" ht="12" customHeight="1" thickBot="1" x14ac:dyDescent="0.25">
      <c r="A57" s="209" t="s">
        <v>235</v>
      </c>
      <c r="B57" s="195" t="s">
        <v>240</v>
      </c>
      <c r="C57" s="1207"/>
      <c r="D57" s="1028">
        <f>'[2]1.3.sz.mell.'!D59</f>
        <v>0</v>
      </c>
      <c r="E57" s="986">
        <f t="shared" si="0"/>
        <v>0</v>
      </c>
    </row>
    <row r="58" spans="1:5" s="42" customFormat="1" ht="12" customHeight="1" thickBot="1" x14ac:dyDescent="0.25">
      <c r="A58" s="25" t="s">
        <v>145</v>
      </c>
      <c r="B58" s="18" t="s">
        <v>241</v>
      </c>
      <c r="C58" s="282">
        <f>SUM(C59:C61)</f>
        <v>1109000</v>
      </c>
      <c r="D58" s="1028">
        <f>'[2]1.3.sz.mell.'!D60</f>
        <v>1109000</v>
      </c>
      <c r="E58" s="986">
        <f t="shared" si="0"/>
        <v>0</v>
      </c>
    </row>
    <row r="59" spans="1:5" s="42" customFormat="1" ht="12" customHeight="1" x14ac:dyDescent="0.2">
      <c r="A59" s="207" t="s">
        <v>97</v>
      </c>
      <c r="B59" s="193" t="s">
        <v>242</v>
      </c>
      <c r="C59" s="284"/>
      <c r="D59" s="1028">
        <f>'[2]1.3.sz.mell.'!D61</f>
        <v>0</v>
      </c>
      <c r="E59" s="986">
        <f t="shared" si="0"/>
        <v>0</v>
      </c>
    </row>
    <row r="60" spans="1:5" s="42" customFormat="1" ht="12" customHeight="1" x14ac:dyDescent="0.2">
      <c r="A60" s="208" t="s">
        <v>98</v>
      </c>
      <c r="B60" s="194" t="s">
        <v>373</v>
      </c>
      <c r="C60" s="1206">
        <v>400000</v>
      </c>
      <c r="D60" s="1028">
        <f>'[2]1.3.sz.mell.'!D62</f>
        <v>400000</v>
      </c>
      <c r="E60" s="986">
        <f t="shared" si="0"/>
        <v>0</v>
      </c>
    </row>
    <row r="61" spans="1:5" s="42" customFormat="1" ht="12" customHeight="1" x14ac:dyDescent="0.2">
      <c r="A61" s="208" t="s">
        <v>245</v>
      </c>
      <c r="B61" s="194" t="s">
        <v>243</v>
      </c>
      <c r="C61" s="1206">
        <f>675000+34000</f>
        <v>709000</v>
      </c>
      <c r="D61" s="1028">
        <f>'[2]1.3.sz.mell.'!D63</f>
        <v>709000</v>
      </c>
      <c r="E61" s="986">
        <f t="shared" si="0"/>
        <v>0</v>
      </c>
    </row>
    <row r="62" spans="1:5" s="42" customFormat="1" ht="12" customHeight="1" thickBot="1" x14ac:dyDescent="0.25">
      <c r="A62" s="209" t="s">
        <v>246</v>
      </c>
      <c r="B62" s="195" t="s">
        <v>244</v>
      </c>
      <c r="C62" s="107"/>
      <c r="D62" s="1028">
        <f>'[2]1.3.sz.mell.'!D64</f>
        <v>0</v>
      </c>
      <c r="E62" s="986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1028">
        <f>'[2]1.3.sz.mell.'!D65</f>
        <v>6000000</v>
      </c>
      <c r="E63" s="986">
        <f t="shared" si="0"/>
        <v>0</v>
      </c>
    </row>
    <row r="64" spans="1:5" s="42" customFormat="1" ht="12" customHeight="1" x14ac:dyDescent="0.2">
      <c r="A64" s="207" t="s">
        <v>146</v>
      </c>
      <c r="B64" s="193" t="s">
        <v>249</v>
      </c>
      <c r="C64" s="1206"/>
      <c r="D64" s="1028">
        <f>'[2]1.3.sz.mell.'!D66</f>
        <v>0</v>
      </c>
      <c r="E64" s="986">
        <f t="shared" si="0"/>
        <v>0</v>
      </c>
    </row>
    <row r="65" spans="1:5" s="42" customFormat="1" ht="12" customHeight="1" x14ac:dyDescent="0.2">
      <c r="A65" s="208" t="s">
        <v>147</v>
      </c>
      <c r="B65" s="194" t="s">
        <v>374</v>
      </c>
      <c r="C65" s="1206"/>
      <c r="D65" s="1028">
        <f>'[2]1.3.sz.mell.'!D67</f>
        <v>0</v>
      </c>
      <c r="E65" s="986">
        <f t="shared" si="0"/>
        <v>0</v>
      </c>
    </row>
    <row r="66" spans="1:5" s="42" customFormat="1" ht="12" customHeight="1" x14ac:dyDescent="0.2">
      <c r="A66" s="208" t="s">
        <v>173</v>
      </c>
      <c r="B66" s="194" t="s">
        <v>250</v>
      </c>
      <c r="C66" s="1206">
        <f>6000000</f>
        <v>6000000</v>
      </c>
      <c r="D66" s="1028">
        <f>'[2]1.3.sz.mell.'!D68</f>
        <v>6000000</v>
      </c>
      <c r="E66" s="986">
        <f t="shared" si="0"/>
        <v>0</v>
      </c>
    </row>
    <row r="67" spans="1:5" s="42" customFormat="1" ht="12" customHeight="1" thickBot="1" x14ac:dyDescent="0.25">
      <c r="A67" s="209" t="s">
        <v>248</v>
      </c>
      <c r="B67" s="195" t="s">
        <v>251</v>
      </c>
      <c r="C67" s="1206">
        <f>6000000</f>
        <v>6000000</v>
      </c>
      <c r="D67" s="1028">
        <f>'[2]1.3.sz.mell.'!D69</f>
        <v>6000000</v>
      </c>
      <c r="E67" s="986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330800145</v>
      </c>
      <c r="D68" s="1028">
        <f>'[2]1.3.sz.mell.'!D70</f>
        <v>309190028</v>
      </c>
      <c r="E68" s="986">
        <f t="shared" si="0"/>
        <v>21610117</v>
      </c>
    </row>
    <row r="69" spans="1:5" s="42" customFormat="1" ht="12" customHeight="1" thickBot="1" x14ac:dyDescent="0.2">
      <c r="A69" s="210" t="s">
        <v>342</v>
      </c>
      <c r="B69" s="112" t="s">
        <v>254</v>
      </c>
      <c r="C69" s="282">
        <f>SUM(C70:C72)</f>
        <v>0</v>
      </c>
      <c r="D69" s="1028">
        <f>'[2]1.3.sz.mell.'!D71</f>
        <v>0</v>
      </c>
      <c r="E69" s="986">
        <f t="shared" si="0"/>
        <v>0</v>
      </c>
    </row>
    <row r="70" spans="1:5" s="42" customFormat="1" ht="12" customHeight="1" x14ac:dyDescent="0.2">
      <c r="A70" s="207" t="s">
        <v>285</v>
      </c>
      <c r="B70" s="193" t="s">
        <v>255</v>
      </c>
      <c r="C70" s="1206"/>
      <c r="D70" s="1028">
        <f>'[2]1.3.sz.mell.'!D72</f>
        <v>0</v>
      </c>
      <c r="E70" s="986">
        <f t="shared" si="0"/>
        <v>0</v>
      </c>
    </row>
    <row r="71" spans="1:5" s="42" customFormat="1" ht="12" customHeight="1" x14ac:dyDescent="0.2">
      <c r="A71" s="208" t="s">
        <v>294</v>
      </c>
      <c r="B71" s="194" t="s">
        <v>256</v>
      </c>
      <c r="C71" s="1206"/>
      <c r="D71" s="1028">
        <f>'[2]1.3.sz.mell.'!D73</f>
        <v>0</v>
      </c>
      <c r="E71" s="986">
        <f t="shared" si="0"/>
        <v>0</v>
      </c>
    </row>
    <row r="72" spans="1:5" s="42" customFormat="1" ht="12" customHeight="1" thickBot="1" x14ac:dyDescent="0.25">
      <c r="A72" s="209" t="s">
        <v>295</v>
      </c>
      <c r="B72" s="196" t="s">
        <v>257</v>
      </c>
      <c r="C72" s="1206"/>
      <c r="D72" s="1028">
        <f>'[2]1.3.sz.mell.'!D74</f>
        <v>0</v>
      </c>
      <c r="E72" s="986">
        <f t="shared" si="0"/>
        <v>0</v>
      </c>
    </row>
    <row r="73" spans="1:5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1028">
        <f>'[2]1.3.sz.mell.'!D75</f>
        <v>0</v>
      </c>
      <c r="E73" s="986">
        <f t="shared" si="0"/>
        <v>0</v>
      </c>
    </row>
    <row r="74" spans="1:5" s="42" customFormat="1" ht="12" customHeight="1" x14ac:dyDescent="0.2">
      <c r="A74" s="207" t="s">
        <v>126</v>
      </c>
      <c r="B74" s="193" t="s">
        <v>260</v>
      </c>
      <c r="C74" s="1206"/>
      <c r="D74" s="1028">
        <f>'[2]1.3.sz.mell.'!D76</f>
        <v>0</v>
      </c>
      <c r="E74" s="986">
        <f t="shared" si="0"/>
        <v>0</v>
      </c>
    </row>
    <row r="75" spans="1:5" s="42" customFormat="1" ht="12" customHeight="1" x14ac:dyDescent="0.2">
      <c r="A75" s="208" t="s">
        <v>127</v>
      </c>
      <c r="B75" s="194" t="s">
        <v>261</v>
      </c>
      <c r="C75" s="1206"/>
      <c r="D75" s="1028">
        <f>'[2]1.3.sz.mell.'!D77</f>
        <v>0</v>
      </c>
      <c r="E75" s="986">
        <f t="shared" si="0"/>
        <v>0</v>
      </c>
    </row>
    <row r="76" spans="1:5" s="42" customFormat="1" ht="12" customHeight="1" x14ac:dyDescent="0.2">
      <c r="A76" s="208" t="s">
        <v>286</v>
      </c>
      <c r="B76" s="194" t="s">
        <v>262</v>
      </c>
      <c r="C76" s="1206"/>
      <c r="D76" s="1028">
        <f>'[2]1.3.sz.mell.'!D78</f>
        <v>0</v>
      </c>
      <c r="E76" s="986">
        <f t="shared" ref="E76:E139" si="1">C76-D76</f>
        <v>0</v>
      </c>
    </row>
    <row r="77" spans="1:5" s="42" customFormat="1" ht="12" customHeight="1" thickBot="1" x14ac:dyDescent="0.25">
      <c r="A77" s="209" t="s">
        <v>287</v>
      </c>
      <c r="B77" s="195" t="s">
        <v>263</v>
      </c>
      <c r="C77" s="1206"/>
      <c r="D77" s="1028">
        <f>'[2]1.3.sz.mell.'!D79</f>
        <v>0</v>
      </c>
      <c r="E77" s="986">
        <f t="shared" si="1"/>
        <v>0</v>
      </c>
    </row>
    <row r="78" spans="1:5" s="42" customFormat="1" ht="12" customHeight="1" thickBot="1" x14ac:dyDescent="0.2">
      <c r="A78" s="210" t="s">
        <v>264</v>
      </c>
      <c r="B78" s="112" t="s">
        <v>265</v>
      </c>
      <c r="C78" s="282">
        <f>SUM(C79:C80)</f>
        <v>8179828</v>
      </c>
      <c r="D78" s="1028">
        <f>'[2]1.3.sz.mell.'!D80</f>
        <v>8179828</v>
      </c>
      <c r="E78" s="986">
        <f t="shared" si="1"/>
        <v>0</v>
      </c>
    </row>
    <row r="79" spans="1:5" s="42" customFormat="1" ht="12" customHeight="1" x14ac:dyDescent="0.2">
      <c r="A79" s="207" t="s">
        <v>288</v>
      </c>
      <c r="B79" s="193" t="s">
        <v>266</v>
      </c>
      <c r="C79" s="1206">
        <v>8179828</v>
      </c>
      <c r="D79" s="1028">
        <f>'[2]1.3.sz.mell.'!D81</f>
        <v>8179828</v>
      </c>
      <c r="E79" s="986">
        <f t="shared" si="1"/>
        <v>0</v>
      </c>
    </row>
    <row r="80" spans="1:5" s="42" customFormat="1" ht="12" customHeight="1" thickBot="1" x14ac:dyDescent="0.25">
      <c r="A80" s="209" t="s">
        <v>289</v>
      </c>
      <c r="B80" s="195" t="s">
        <v>267</v>
      </c>
      <c r="C80" s="1206"/>
      <c r="D80" s="1028">
        <f>'[2]1.3.sz.mell.'!D82</f>
        <v>0</v>
      </c>
      <c r="E80" s="986">
        <f t="shared" si="1"/>
        <v>0</v>
      </c>
    </row>
    <row r="81" spans="1:5" s="41" customFormat="1" ht="12" customHeight="1" thickBot="1" x14ac:dyDescent="0.2">
      <c r="A81" s="210" t="s">
        <v>268</v>
      </c>
      <c r="B81" s="112" t="s">
        <v>269</v>
      </c>
      <c r="C81" s="282">
        <f>SUM(C82:C84)</f>
        <v>0</v>
      </c>
      <c r="D81" s="1028">
        <f>'[2]1.3.sz.mell.'!D83</f>
        <v>0</v>
      </c>
      <c r="E81" s="986">
        <f t="shared" si="1"/>
        <v>0</v>
      </c>
    </row>
    <row r="82" spans="1:5" s="42" customFormat="1" ht="12" customHeight="1" x14ac:dyDescent="0.2">
      <c r="A82" s="207" t="s">
        <v>290</v>
      </c>
      <c r="B82" s="193" t="s">
        <v>270</v>
      </c>
      <c r="C82" s="1206"/>
      <c r="D82" s="1028">
        <f>'[2]1.3.sz.mell.'!D84</f>
        <v>0</v>
      </c>
      <c r="E82" s="986">
        <f t="shared" si="1"/>
        <v>0</v>
      </c>
    </row>
    <row r="83" spans="1:5" s="42" customFormat="1" ht="12" customHeight="1" x14ac:dyDescent="0.2">
      <c r="A83" s="208" t="s">
        <v>291</v>
      </c>
      <c r="B83" s="194" t="s">
        <v>271</v>
      </c>
      <c r="C83" s="1206"/>
      <c r="D83" s="1028">
        <f>'[2]1.3.sz.mell.'!D85</f>
        <v>0</v>
      </c>
      <c r="E83" s="986">
        <f t="shared" si="1"/>
        <v>0</v>
      </c>
    </row>
    <row r="84" spans="1:5" s="42" customFormat="1" ht="12" customHeight="1" thickBot="1" x14ac:dyDescent="0.25">
      <c r="A84" s="209" t="s">
        <v>292</v>
      </c>
      <c r="B84" s="195" t="s">
        <v>272</v>
      </c>
      <c r="C84" s="1206"/>
      <c r="D84" s="1028">
        <f>'[2]1.3.sz.mell.'!D86</f>
        <v>0</v>
      </c>
      <c r="E84" s="986">
        <f t="shared" si="1"/>
        <v>0</v>
      </c>
    </row>
    <row r="85" spans="1:5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1028">
        <f>'[2]1.3.sz.mell.'!D87</f>
        <v>0</v>
      </c>
      <c r="E85" s="986">
        <f t="shared" si="1"/>
        <v>0</v>
      </c>
    </row>
    <row r="86" spans="1:5" s="42" customFormat="1" ht="12" customHeight="1" x14ac:dyDescent="0.2">
      <c r="A86" s="211" t="s">
        <v>274</v>
      </c>
      <c r="B86" s="193" t="s">
        <v>275</v>
      </c>
      <c r="C86" s="1206"/>
      <c r="D86" s="1028">
        <f>'[2]1.3.sz.mell.'!D88</f>
        <v>0</v>
      </c>
      <c r="E86" s="986">
        <f t="shared" si="1"/>
        <v>0</v>
      </c>
    </row>
    <row r="87" spans="1:5" s="42" customFormat="1" ht="12" customHeight="1" x14ac:dyDescent="0.2">
      <c r="A87" s="212" t="s">
        <v>276</v>
      </c>
      <c r="B87" s="194" t="s">
        <v>277</v>
      </c>
      <c r="C87" s="1206"/>
      <c r="D87" s="1028">
        <f>'[2]1.3.sz.mell.'!D89</f>
        <v>0</v>
      </c>
      <c r="E87" s="986">
        <f t="shared" si="1"/>
        <v>0</v>
      </c>
    </row>
    <row r="88" spans="1:5" s="42" customFormat="1" ht="12" customHeight="1" x14ac:dyDescent="0.2">
      <c r="A88" s="212" t="s">
        <v>278</v>
      </c>
      <c r="B88" s="194" t="s">
        <v>279</v>
      </c>
      <c r="C88" s="1206"/>
      <c r="D88" s="1028">
        <f>'[2]1.3.sz.mell.'!D90</f>
        <v>0</v>
      </c>
      <c r="E88" s="986">
        <f t="shared" si="1"/>
        <v>0</v>
      </c>
    </row>
    <row r="89" spans="1:5" s="41" customFormat="1" ht="12" customHeight="1" thickBot="1" x14ac:dyDescent="0.25">
      <c r="A89" s="213" t="s">
        <v>280</v>
      </c>
      <c r="B89" s="195" t="s">
        <v>281</v>
      </c>
      <c r="C89" s="1206"/>
      <c r="D89" s="1028">
        <f>'[2]1.3.sz.mell.'!D91</f>
        <v>0</v>
      </c>
      <c r="E89" s="986">
        <f t="shared" si="1"/>
        <v>0</v>
      </c>
    </row>
    <row r="90" spans="1:5" s="41" customFormat="1" ht="12" customHeight="1" thickBot="1" x14ac:dyDescent="0.2">
      <c r="A90" s="210" t="s">
        <v>282</v>
      </c>
      <c r="B90" s="112" t="s">
        <v>456</v>
      </c>
      <c r="C90" s="287"/>
      <c r="D90" s="1028">
        <f>'[2]1.3.sz.mell.'!D92</f>
        <v>0</v>
      </c>
      <c r="E90" s="986">
        <f t="shared" si="1"/>
        <v>0</v>
      </c>
    </row>
    <row r="91" spans="1:5" s="41" customFormat="1" ht="12" customHeight="1" thickBot="1" x14ac:dyDescent="0.2">
      <c r="A91" s="210" t="s">
        <v>508</v>
      </c>
      <c r="B91" s="112" t="s">
        <v>283</v>
      </c>
      <c r="C91" s="287"/>
      <c r="D91" s="1028">
        <f>'[2]1.3.sz.mell.'!D93</f>
        <v>0</v>
      </c>
      <c r="E91" s="986">
        <f t="shared" si="1"/>
        <v>0</v>
      </c>
    </row>
    <row r="92" spans="1:5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8179828</v>
      </c>
      <c r="D92" s="1028">
        <f>'[2]1.3.sz.mell.'!D94</f>
        <v>8179828</v>
      </c>
      <c r="E92" s="986">
        <f t="shared" si="1"/>
        <v>0</v>
      </c>
    </row>
    <row r="93" spans="1:5" s="41" customFormat="1" ht="12" customHeight="1" thickBot="1" x14ac:dyDescent="0.2">
      <c r="A93" s="214" t="s">
        <v>510</v>
      </c>
      <c r="B93" s="201" t="s">
        <v>511</v>
      </c>
      <c r="C93" s="285">
        <f>+C68+C92</f>
        <v>338979973</v>
      </c>
      <c r="D93" s="1028">
        <f>'[2]1.3.sz.mell.'!D95</f>
        <v>317369856</v>
      </c>
      <c r="E93" s="986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86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86">
        <f t="shared" si="1"/>
        <v>0</v>
      </c>
    </row>
    <row r="96" spans="1:5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87145207</v>
      </c>
      <c r="D96" s="1010">
        <f>'[2]1.3.sz.mell.'!D101</f>
        <v>84152091</v>
      </c>
      <c r="E96" s="986">
        <f t="shared" si="1"/>
        <v>2993116</v>
      </c>
    </row>
    <row r="97" spans="1:5" ht="12" customHeight="1" x14ac:dyDescent="0.2">
      <c r="A97" s="215" t="s">
        <v>99</v>
      </c>
      <c r="B97" s="7" t="s">
        <v>51</v>
      </c>
      <c r="C97" s="1215">
        <f>8164238-2106730+2417174+483000</f>
        <v>8957682</v>
      </c>
      <c r="D97" s="1010">
        <f>'[2]1.3.sz.mell.'!D102</f>
        <v>6764448</v>
      </c>
      <c r="E97" s="986">
        <f t="shared" si="1"/>
        <v>2193234</v>
      </c>
    </row>
    <row r="98" spans="1:5" ht="12" customHeight="1" x14ac:dyDescent="0.2">
      <c r="A98" s="208" t="s">
        <v>100</v>
      </c>
      <c r="B98" s="5" t="s">
        <v>148</v>
      </c>
      <c r="C98" s="1213">
        <f>2011190+296740+74865</f>
        <v>2382795</v>
      </c>
      <c r="D98" s="1010">
        <f>'[2]1.3.sz.mell.'!D103</f>
        <v>2186205</v>
      </c>
      <c r="E98" s="986">
        <f t="shared" si="1"/>
        <v>196590</v>
      </c>
    </row>
    <row r="99" spans="1:5" ht="12" customHeight="1" x14ac:dyDescent="0.2">
      <c r="A99" s="208" t="s">
        <v>101</v>
      </c>
      <c r="B99" s="463" t="s">
        <v>124</v>
      </c>
      <c r="C99" s="1172">
        <f>62807314+75039+2106730+488+176000+32000</f>
        <v>65197571</v>
      </c>
      <c r="D99" s="1010">
        <f>'[2]1.3.sz.mell.'!D104</f>
        <v>65580469</v>
      </c>
      <c r="E99" s="986">
        <f t="shared" si="1"/>
        <v>-382898</v>
      </c>
    </row>
    <row r="100" spans="1:5" ht="12" customHeight="1" x14ac:dyDescent="0.2">
      <c r="A100" s="208" t="s">
        <v>102</v>
      </c>
      <c r="B100" s="466" t="s">
        <v>149</v>
      </c>
      <c r="C100" s="182"/>
      <c r="D100" s="1010">
        <f>'[2]1.3.sz.mell.'!D105</f>
        <v>0</v>
      </c>
      <c r="E100" s="986">
        <f t="shared" si="1"/>
        <v>0</v>
      </c>
    </row>
    <row r="101" spans="1:5" ht="12" customHeight="1" x14ac:dyDescent="0.2">
      <c r="A101" s="208" t="s">
        <v>113</v>
      </c>
      <c r="B101" s="16" t="s">
        <v>150</v>
      </c>
      <c r="C101" s="182">
        <f>SUM(C102:C113)</f>
        <v>10607159</v>
      </c>
      <c r="D101" s="1010">
        <f>'[2]1.3.sz.mell.'!D106</f>
        <v>9620969</v>
      </c>
      <c r="E101" s="986">
        <f t="shared" si="1"/>
        <v>986190</v>
      </c>
    </row>
    <row r="102" spans="1:5" ht="12" customHeight="1" x14ac:dyDescent="0.2">
      <c r="A102" s="208" t="s">
        <v>103</v>
      </c>
      <c r="B102" s="463" t="s">
        <v>512</v>
      </c>
      <c r="C102" s="182"/>
      <c r="D102" s="1010">
        <f>'[2]1.3.sz.mell.'!D107</f>
        <v>0</v>
      </c>
      <c r="E102" s="986">
        <f t="shared" si="1"/>
        <v>0</v>
      </c>
    </row>
    <row r="103" spans="1:5" ht="12" customHeight="1" x14ac:dyDescent="0.2">
      <c r="A103" s="208" t="s">
        <v>104</v>
      </c>
      <c r="B103" s="474" t="s">
        <v>461</v>
      </c>
      <c r="C103" s="182"/>
      <c r="D103" s="1010">
        <f>'[2]1.3.sz.mell.'!D108</f>
        <v>0</v>
      </c>
      <c r="E103" s="986">
        <f t="shared" si="1"/>
        <v>0</v>
      </c>
    </row>
    <row r="104" spans="1:5" ht="12" customHeight="1" x14ac:dyDescent="0.2">
      <c r="A104" s="208" t="s">
        <v>114</v>
      </c>
      <c r="B104" s="474" t="s">
        <v>462</v>
      </c>
      <c r="C104" s="1205"/>
      <c r="D104" s="1010">
        <f>'[2]1.3.sz.mell.'!D109</f>
        <v>0</v>
      </c>
      <c r="E104" s="986">
        <f t="shared" si="1"/>
        <v>0</v>
      </c>
    </row>
    <row r="105" spans="1:5" ht="12" customHeight="1" x14ac:dyDescent="0.2">
      <c r="A105" s="208" t="s">
        <v>115</v>
      </c>
      <c r="B105" s="61" t="s">
        <v>299</v>
      </c>
      <c r="C105" s="1207"/>
      <c r="D105" s="1010">
        <f>'[2]1.3.sz.mell.'!D110</f>
        <v>0</v>
      </c>
      <c r="E105" s="986">
        <f t="shared" si="1"/>
        <v>0</v>
      </c>
    </row>
    <row r="106" spans="1:5" ht="12" customHeight="1" x14ac:dyDescent="0.2">
      <c r="A106" s="208" t="s">
        <v>116</v>
      </c>
      <c r="B106" s="62" t="s">
        <v>300</v>
      </c>
      <c r="C106" s="1207"/>
      <c r="D106" s="1010">
        <f>'[2]1.3.sz.mell.'!D111</f>
        <v>0</v>
      </c>
      <c r="E106" s="986">
        <f t="shared" si="1"/>
        <v>0</v>
      </c>
    </row>
    <row r="107" spans="1:5" ht="12" customHeight="1" x14ac:dyDescent="0.2">
      <c r="A107" s="208" t="s">
        <v>117</v>
      </c>
      <c r="B107" s="62" t="s">
        <v>301</v>
      </c>
      <c r="C107" s="1207"/>
      <c r="D107" s="1010">
        <f>'[2]1.3.sz.mell.'!D112</f>
        <v>0</v>
      </c>
      <c r="E107" s="986">
        <f t="shared" si="1"/>
        <v>0</v>
      </c>
    </row>
    <row r="108" spans="1:5" ht="12" customHeight="1" x14ac:dyDescent="0.2">
      <c r="A108" s="208" t="s">
        <v>119</v>
      </c>
      <c r="B108" s="61" t="s">
        <v>302</v>
      </c>
      <c r="C108" s="1207"/>
      <c r="D108" s="1010">
        <f>'[2]1.3.sz.mell.'!D113</f>
        <v>0</v>
      </c>
      <c r="E108" s="986">
        <f t="shared" si="1"/>
        <v>0</v>
      </c>
    </row>
    <row r="109" spans="1:5" ht="12" customHeight="1" x14ac:dyDescent="0.2">
      <c r="A109" s="208" t="s">
        <v>151</v>
      </c>
      <c r="B109" s="61" t="s">
        <v>303</v>
      </c>
      <c r="C109" s="1207"/>
      <c r="D109" s="1010">
        <f>'[2]1.3.sz.mell.'!D114</f>
        <v>0</v>
      </c>
      <c r="E109" s="986">
        <f t="shared" si="1"/>
        <v>0</v>
      </c>
    </row>
    <row r="110" spans="1:5" ht="12" customHeight="1" x14ac:dyDescent="0.2">
      <c r="A110" s="208" t="s">
        <v>297</v>
      </c>
      <c r="B110" s="62" t="s">
        <v>304</v>
      </c>
      <c r="C110" s="1207"/>
      <c r="D110" s="1010">
        <f>'[2]1.3.sz.mell.'!D115</f>
        <v>0</v>
      </c>
      <c r="E110" s="986">
        <f t="shared" si="1"/>
        <v>0</v>
      </c>
    </row>
    <row r="111" spans="1:5" ht="12" customHeight="1" x14ac:dyDescent="0.2">
      <c r="A111" s="216" t="s">
        <v>298</v>
      </c>
      <c r="B111" s="63" t="s">
        <v>305</v>
      </c>
      <c r="C111" s="1207"/>
      <c r="D111" s="1010">
        <f>'[2]1.3.sz.mell.'!D116</f>
        <v>0</v>
      </c>
      <c r="E111" s="986">
        <f t="shared" si="1"/>
        <v>0</v>
      </c>
    </row>
    <row r="112" spans="1:5" ht="12" customHeight="1" x14ac:dyDescent="0.2">
      <c r="A112" s="208" t="s">
        <v>463</v>
      </c>
      <c r="B112" s="63" t="s">
        <v>306</v>
      </c>
      <c r="C112" s="1207"/>
      <c r="D112" s="1010">
        <f>'[2]1.3.sz.mell.'!D117</f>
        <v>0</v>
      </c>
      <c r="E112" s="986">
        <f t="shared" si="1"/>
        <v>0</v>
      </c>
    </row>
    <row r="113" spans="1:5" ht="12" customHeight="1" x14ac:dyDescent="0.2">
      <c r="A113" s="208" t="s">
        <v>464</v>
      </c>
      <c r="B113" s="62" t="s">
        <v>307</v>
      </c>
      <c r="C113" s="1213">
        <f>8000000+1620969+986190</f>
        <v>10607159</v>
      </c>
      <c r="D113" s="1010">
        <f>'[2]1.3.sz.mell.'!D118</f>
        <v>9620969</v>
      </c>
      <c r="E113" s="986">
        <f t="shared" si="1"/>
        <v>986190</v>
      </c>
    </row>
    <row r="114" spans="1:5" ht="12" customHeight="1" x14ac:dyDescent="0.2">
      <c r="A114" s="208" t="s">
        <v>465</v>
      </c>
      <c r="B114" s="8" t="s">
        <v>52</v>
      </c>
      <c r="C114" s="106"/>
      <c r="D114" s="1010">
        <f>'[2]1.3.sz.mell.'!D119</f>
        <v>0</v>
      </c>
      <c r="E114" s="986">
        <f t="shared" si="1"/>
        <v>0</v>
      </c>
    </row>
    <row r="115" spans="1:5" ht="12" customHeight="1" x14ac:dyDescent="0.2">
      <c r="A115" s="209" t="s">
        <v>466</v>
      </c>
      <c r="B115" s="5" t="s">
        <v>513</v>
      </c>
      <c r="C115" s="107"/>
      <c r="D115" s="1010">
        <f>'[2]1.3.sz.mell.'!D120</f>
        <v>0</v>
      </c>
      <c r="E115" s="986">
        <f t="shared" si="1"/>
        <v>0</v>
      </c>
    </row>
    <row r="116" spans="1:5" ht="12" customHeight="1" thickBot="1" x14ac:dyDescent="0.25">
      <c r="A116" s="217" t="s">
        <v>468</v>
      </c>
      <c r="B116" s="64" t="s">
        <v>514</v>
      </c>
      <c r="C116" s="291"/>
      <c r="D116" s="1010">
        <f>'[2]1.3.sz.mell.'!D121</f>
        <v>0</v>
      </c>
      <c r="E116" s="986">
        <f t="shared" si="1"/>
        <v>0</v>
      </c>
    </row>
    <row r="117" spans="1:5" ht="12" customHeight="1" thickBot="1" x14ac:dyDescent="0.25">
      <c r="A117" s="25" t="s">
        <v>22</v>
      </c>
      <c r="B117" s="22" t="s">
        <v>308</v>
      </c>
      <c r="C117" s="282">
        <f>+C118+C120+C122</f>
        <v>10785208</v>
      </c>
      <c r="D117" s="1010">
        <f>'[2]1.3.sz.mell.'!D122</f>
        <v>11585208</v>
      </c>
      <c r="E117" s="986">
        <f t="shared" si="1"/>
        <v>-800000</v>
      </c>
    </row>
    <row r="118" spans="1:5" ht="12" customHeight="1" x14ac:dyDescent="0.2">
      <c r="A118" s="207" t="s">
        <v>105</v>
      </c>
      <c r="B118" s="5" t="s">
        <v>172</v>
      </c>
      <c r="C118" s="1218">
        <f>5411384+174312-488+5200000</f>
        <v>10785208</v>
      </c>
      <c r="D118" s="1010">
        <f>'[2]1.3.sz.mell.'!D123</f>
        <v>11585208</v>
      </c>
      <c r="E118" s="986">
        <f t="shared" si="1"/>
        <v>-800000</v>
      </c>
    </row>
    <row r="119" spans="1:5" ht="12" customHeight="1" x14ac:dyDescent="0.2">
      <c r="A119" s="207" t="s">
        <v>106</v>
      </c>
      <c r="B119" s="9" t="s">
        <v>312</v>
      </c>
      <c r="C119" s="1208">
        <f>5016896</f>
        <v>5016896</v>
      </c>
      <c r="D119" s="1010">
        <f>'[2]1.3.sz.mell.'!D124</f>
        <v>11016896</v>
      </c>
      <c r="E119" s="986">
        <f t="shared" si="1"/>
        <v>-6000000</v>
      </c>
    </row>
    <row r="120" spans="1:5" ht="12" customHeight="1" x14ac:dyDescent="0.2">
      <c r="A120" s="207" t="s">
        <v>107</v>
      </c>
      <c r="B120" s="9" t="s">
        <v>152</v>
      </c>
      <c r="C120" s="106"/>
      <c r="D120" s="1010">
        <f>'[2]1.3.sz.mell.'!D125</f>
        <v>0</v>
      </c>
      <c r="E120" s="986">
        <f t="shared" si="1"/>
        <v>0</v>
      </c>
    </row>
    <row r="121" spans="1:5" ht="12" customHeight="1" x14ac:dyDescent="0.2">
      <c r="A121" s="207" t="s">
        <v>108</v>
      </c>
      <c r="B121" s="9" t="s">
        <v>313</v>
      </c>
      <c r="C121" s="106"/>
      <c r="D121" s="1010">
        <f>'[2]1.3.sz.mell.'!D126</f>
        <v>0</v>
      </c>
      <c r="E121" s="986">
        <f t="shared" si="1"/>
        <v>0</v>
      </c>
    </row>
    <row r="122" spans="1:5" ht="12" customHeight="1" x14ac:dyDescent="0.2">
      <c r="A122" s="207" t="s">
        <v>109</v>
      </c>
      <c r="B122" s="114" t="s">
        <v>174</v>
      </c>
      <c r="C122" s="272"/>
      <c r="D122" s="1010">
        <f>'[2]1.3.sz.mell.'!D127</f>
        <v>0</v>
      </c>
      <c r="E122" s="986">
        <f t="shared" si="1"/>
        <v>0</v>
      </c>
    </row>
    <row r="123" spans="1:5" ht="12" customHeight="1" x14ac:dyDescent="0.2">
      <c r="A123" s="207" t="s">
        <v>118</v>
      </c>
      <c r="B123" s="113" t="s">
        <v>375</v>
      </c>
      <c r="C123" s="272"/>
      <c r="D123" s="1010">
        <f>'[2]1.3.sz.mell.'!D128</f>
        <v>0</v>
      </c>
      <c r="E123" s="986">
        <f t="shared" si="1"/>
        <v>0</v>
      </c>
    </row>
    <row r="124" spans="1:5" ht="12" customHeight="1" x14ac:dyDescent="0.2">
      <c r="A124" s="207" t="s">
        <v>120</v>
      </c>
      <c r="B124" s="189" t="s">
        <v>318</v>
      </c>
      <c r="C124" s="272"/>
      <c r="D124" s="1010">
        <f>'[2]1.3.sz.mell.'!D129</f>
        <v>0</v>
      </c>
      <c r="E124" s="986">
        <f t="shared" si="1"/>
        <v>0</v>
      </c>
    </row>
    <row r="125" spans="1:5" ht="12" customHeight="1" x14ac:dyDescent="0.2">
      <c r="A125" s="207" t="s">
        <v>153</v>
      </c>
      <c r="B125" s="62" t="s">
        <v>301</v>
      </c>
      <c r="C125" s="272"/>
      <c r="D125" s="1010">
        <f>'[2]1.3.sz.mell.'!D130</f>
        <v>0</v>
      </c>
      <c r="E125" s="986">
        <f t="shared" si="1"/>
        <v>0</v>
      </c>
    </row>
    <row r="126" spans="1:5" ht="12" customHeight="1" x14ac:dyDescent="0.2">
      <c r="A126" s="207" t="s">
        <v>154</v>
      </c>
      <c r="B126" s="62" t="s">
        <v>317</v>
      </c>
      <c r="C126" s="272"/>
      <c r="D126" s="1010">
        <f>'[2]1.3.sz.mell.'!D131</f>
        <v>0</v>
      </c>
      <c r="E126" s="986">
        <f t="shared" si="1"/>
        <v>0</v>
      </c>
    </row>
    <row r="127" spans="1:5" ht="12" customHeight="1" x14ac:dyDescent="0.2">
      <c r="A127" s="207" t="s">
        <v>155</v>
      </c>
      <c r="B127" s="62" t="s">
        <v>316</v>
      </c>
      <c r="C127" s="272"/>
      <c r="D127" s="1010">
        <f>'[2]1.3.sz.mell.'!D132</f>
        <v>0</v>
      </c>
      <c r="E127" s="986">
        <f t="shared" si="1"/>
        <v>0</v>
      </c>
    </row>
    <row r="128" spans="1:5" ht="12" customHeight="1" x14ac:dyDescent="0.2">
      <c r="A128" s="207" t="s">
        <v>309</v>
      </c>
      <c r="B128" s="62" t="s">
        <v>304</v>
      </c>
      <c r="C128" s="272"/>
      <c r="D128" s="1010">
        <f>'[2]1.3.sz.mell.'!D133</f>
        <v>0</v>
      </c>
      <c r="E128" s="986">
        <f t="shared" si="1"/>
        <v>0</v>
      </c>
    </row>
    <row r="129" spans="1:11" ht="12" customHeight="1" x14ac:dyDescent="0.2">
      <c r="A129" s="207" t="s">
        <v>310</v>
      </c>
      <c r="B129" s="62" t="s">
        <v>315</v>
      </c>
      <c r="C129" s="272"/>
      <c r="D129" s="1010">
        <f>'[2]1.3.sz.mell.'!D134</f>
        <v>0</v>
      </c>
      <c r="E129" s="986">
        <f t="shared" si="1"/>
        <v>0</v>
      </c>
    </row>
    <row r="130" spans="1:11" ht="12" customHeight="1" thickBot="1" x14ac:dyDescent="0.25">
      <c r="A130" s="216" t="s">
        <v>311</v>
      </c>
      <c r="B130" s="62" t="s">
        <v>314</v>
      </c>
      <c r="C130" s="273"/>
      <c r="D130" s="1010">
        <f>'[2]1.3.sz.mell.'!D135</f>
        <v>0</v>
      </c>
      <c r="E130" s="986">
        <f t="shared" si="1"/>
        <v>0</v>
      </c>
    </row>
    <row r="131" spans="1:11" ht="12" customHeight="1" thickBot="1" x14ac:dyDescent="0.25">
      <c r="A131" s="25" t="s">
        <v>23</v>
      </c>
      <c r="B131" s="57" t="s">
        <v>470</v>
      </c>
      <c r="C131" s="282">
        <f>+C96+C117</f>
        <v>97930415</v>
      </c>
      <c r="D131" s="1010">
        <f>'[2]1.3.sz.mell.'!D136</f>
        <v>95737299</v>
      </c>
      <c r="E131" s="986">
        <f t="shared" si="1"/>
        <v>2193116</v>
      </c>
    </row>
    <row r="132" spans="1:11" ht="12" customHeight="1" thickBot="1" x14ac:dyDescent="0.25">
      <c r="A132" s="25" t="s">
        <v>24</v>
      </c>
      <c r="B132" s="57" t="s">
        <v>471</v>
      </c>
      <c r="C132" s="282">
        <f>+C133+C134+C135</f>
        <v>3474590</v>
      </c>
      <c r="D132" s="1010">
        <f>'[2]1.3.sz.mell.'!D137</f>
        <v>3474590</v>
      </c>
      <c r="E132" s="986">
        <f t="shared" si="1"/>
        <v>0</v>
      </c>
    </row>
    <row r="133" spans="1:11" s="1010" customFormat="1" ht="12" customHeight="1" x14ac:dyDescent="0.2">
      <c r="A133" s="207" t="s">
        <v>210</v>
      </c>
      <c r="B133" s="6" t="s">
        <v>515</v>
      </c>
      <c r="C133" s="1206">
        <v>3474590</v>
      </c>
      <c r="D133" s="1010">
        <f>'[2]1.3.sz.mell.'!D138</f>
        <v>3474590</v>
      </c>
      <c r="E133" s="986">
        <f t="shared" si="1"/>
        <v>0</v>
      </c>
    </row>
    <row r="134" spans="1:11" ht="12" customHeight="1" x14ac:dyDescent="0.2">
      <c r="A134" s="207" t="s">
        <v>213</v>
      </c>
      <c r="B134" s="6" t="s">
        <v>473</v>
      </c>
      <c r="C134" s="106"/>
      <c r="D134" s="1010">
        <f>'[2]1.3.sz.mell.'!D139</f>
        <v>0</v>
      </c>
      <c r="E134" s="986">
        <f t="shared" si="1"/>
        <v>0</v>
      </c>
    </row>
    <row r="135" spans="1:11" ht="12" customHeight="1" thickBot="1" x14ac:dyDescent="0.25">
      <c r="A135" s="216" t="s">
        <v>214</v>
      </c>
      <c r="B135" s="4" t="s">
        <v>516</v>
      </c>
      <c r="C135" s="106"/>
      <c r="D135" s="1010">
        <f>'[2]1.3.sz.mell.'!D140</f>
        <v>0</v>
      </c>
      <c r="E135" s="986">
        <f t="shared" si="1"/>
        <v>0</v>
      </c>
    </row>
    <row r="136" spans="1:11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1010">
        <f>'[2]1.3.sz.mell.'!D141</f>
        <v>0</v>
      </c>
      <c r="E136" s="986">
        <f t="shared" si="1"/>
        <v>0</v>
      </c>
    </row>
    <row r="137" spans="1:11" ht="12" customHeight="1" x14ac:dyDescent="0.2">
      <c r="A137" s="207" t="s">
        <v>92</v>
      </c>
      <c r="B137" s="6" t="s">
        <v>476</v>
      </c>
      <c r="C137" s="106"/>
      <c r="D137" s="1010">
        <f>'[2]1.3.sz.mell.'!D142</f>
        <v>0</v>
      </c>
      <c r="E137" s="986">
        <f t="shared" si="1"/>
        <v>0</v>
      </c>
    </row>
    <row r="138" spans="1:11" ht="12" customHeight="1" x14ac:dyDescent="0.2">
      <c r="A138" s="207" t="s">
        <v>93</v>
      </c>
      <c r="B138" s="6" t="s">
        <v>477</v>
      </c>
      <c r="C138" s="106"/>
      <c r="D138" s="1010">
        <f>'[2]1.3.sz.mell.'!D143</f>
        <v>0</v>
      </c>
      <c r="E138" s="986">
        <f t="shared" si="1"/>
        <v>0</v>
      </c>
    </row>
    <row r="139" spans="1:11" ht="12" customHeight="1" x14ac:dyDescent="0.2">
      <c r="A139" s="207" t="s">
        <v>94</v>
      </c>
      <c r="B139" s="6" t="s">
        <v>478</v>
      </c>
      <c r="C139" s="106"/>
      <c r="D139" s="1010">
        <f>'[2]1.3.sz.mell.'!D144</f>
        <v>0</v>
      </c>
      <c r="E139" s="986">
        <f t="shared" si="1"/>
        <v>0</v>
      </c>
    </row>
    <row r="140" spans="1:11" ht="12" customHeight="1" x14ac:dyDescent="0.2">
      <c r="A140" s="207" t="s">
        <v>140</v>
      </c>
      <c r="B140" s="6" t="s">
        <v>517</v>
      </c>
      <c r="C140" s="106"/>
      <c r="D140" s="1010">
        <f>'[2]1.3.sz.mell.'!D145</f>
        <v>0</v>
      </c>
      <c r="E140" s="986">
        <f t="shared" ref="E140:E157" si="2">C140-D140</f>
        <v>0</v>
      </c>
    </row>
    <row r="141" spans="1:11" ht="12" customHeight="1" x14ac:dyDescent="0.2">
      <c r="A141" s="207" t="s">
        <v>141</v>
      </c>
      <c r="B141" s="6" t="s">
        <v>480</v>
      </c>
      <c r="C141" s="106"/>
      <c r="D141" s="1010">
        <f>'[2]1.3.sz.mell.'!D146</f>
        <v>0</v>
      </c>
      <c r="E141" s="986">
        <f t="shared" si="2"/>
        <v>0</v>
      </c>
    </row>
    <row r="142" spans="1:11" s="1010" customFormat="1" ht="12" customHeight="1" thickBot="1" x14ac:dyDescent="0.25">
      <c r="A142" s="216" t="s">
        <v>142</v>
      </c>
      <c r="B142" s="4" t="s">
        <v>481</v>
      </c>
      <c r="C142" s="106"/>
      <c r="D142" s="1010">
        <f>'[2]1.3.sz.mell.'!D147</f>
        <v>0</v>
      </c>
      <c r="E142" s="986">
        <f t="shared" si="2"/>
        <v>0</v>
      </c>
    </row>
    <row r="143" spans="1:11" ht="12" customHeight="1" thickBot="1" x14ac:dyDescent="0.25">
      <c r="A143" s="25" t="s">
        <v>26</v>
      </c>
      <c r="B143" s="57" t="s">
        <v>518</v>
      </c>
      <c r="C143" s="285">
        <f>+C144+C145+C146+C147</f>
        <v>0</v>
      </c>
      <c r="D143" s="1010">
        <f>'[2]1.3.sz.mell.'!D148</f>
        <v>0</v>
      </c>
      <c r="E143" s="986">
        <f t="shared" si="2"/>
        <v>0</v>
      </c>
      <c r="K143" s="105"/>
    </row>
    <row r="144" spans="1:11" ht="15.75" x14ac:dyDescent="0.2">
      <c r="A144" s="207" t="s">
        <v>95</v>
      </c>
      <c r="B144" s="6" t="s">
        <v>319</v>
      </c>
      <c r="C144" s="106"/>
      <c r="D144" s="1010">
        <f>'[2]1.3.sz.mell.'!D149</f>
        <v>0</v>
      </c>
      <c r="E144" s="986">
        <f t="shared" si="2"/>
        <v>0</v>
      </c>
    </row>
    <row r="145" spans="1:5" ht="12" customHeight="1" x14ac:dyDescent="0.2">
      <c r="A145" s="207" t="s">
        <v>96</v>
      </c>
      <c r="B145" s="6" t="s">
        <v>320</v>
      </c>
      <c r="C145" s="106"/>
      <c r="D145" s="1010">
        <f>'[2]1.3.sz.mell.'!D150</f>
        <v>0</v>
      </c>
      <c r="E145" s="986">
        <f t="shared" si="2"/>
        <v>0</v>
      </c>
    </row>
    <row r="146" spans="1:5" s="1010" customFormat="1" ht="12" customHeight="1" x14ac:dyDescent="0.2">
      <c r="A146" s="207" t="s">
        <v>233</v>
      </c>
      <c r="B146" s="6" t="s">
        <v>483</v>
      </c>
      <c r="C146" s="106"/>
      <c r="D146" s="1010">
        <f>'[2]1.3.sz.mell.'!D151</f>
        <v>0</v>
      </c>
      <c r="E146" s="986">
        <f t="shared" si="2"/>
        <v>0</v>
      </c>
    </row>
    <row r="147" spans="1:5" s="1010" customFormat="1" ht="12" customHeight="1" thickBot="1" x14ac:dyDescent="0.25">
      <c r="A147" s="216" t="s">
        <v>234</v>
      </c>
      <c r="B147" s="4" t="s">
        <v>338</v>
      </c>
      <c r="C147" s="106"/>
      <c r="D147" s="1010">
        <f>'[2]1.3.sz.mell.'!D152</f>
        <v>0</v>
      </c>
      <c r="E147" s="986">
        <f t="shared" si="2"/>
        <v>0</v>
      </c>
    </row>
    <row r="148" spans="1:5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1010">
        <f>'[2]1.3.sz.mell.'!D153</f>
        <v>0</v>
      </c>
      <c r="E148" s="986">
        <f t="shared" si="2"/>
        <v>0</v>
      </c>
    </row>
    <row r="149" spans="1:5" s="1010" customFormat="1" ht="12" customHeight="1" x14ac:dyDescent="0.2">
      <c r="A149" s="207" t="s">
        <v>97</v>
      </c>
      <c r="B149" s="6" t="s">
        <v>485</v>
      </c>
      <c r="C149" s="106"/>
      <c r="D149" s="1010">
        <f>'[2]1.3.sz.mell.'!D154</f>
        <v>0</v>
      </c>
      <c r="E149" s="986">
        <f t="shared" si="2"/>
        <v>0</v>
      </c>
    </row>
    <row r="150" spans="1:5" s="1010" customFormat="1" ht="12" customHeight="1" x14ac:dyDescent="0.2">
      <c r="A150" s="207" t="s">
        <v>98</v>
      </c>
      <c r="B150" s="6" t="s">
        <v>486</v>
      </c>
      <c r="C150" s="106"/>
      <c r="D150" s="1010">
        <f>'[2]1.3.sz.mell.'!D155</f>
        <v>0</v>
      </c>
      <c r="E150" s="986">
        <f t="shared" si="2"/>
        <v>0</v>
      </c>
    </row>
    <row r="151" spans="1:5" s="1010" customFormat="1" ht="12" customHeight="1" x14ac:dyDescent="0.2">
      <c r="A151" s="207" t="s">
        <v>245</v>
      </c>
      <c r="B151" s="6" t="s">
        <v>487</v>
      </c>
      <c r="C151" s="106"/>
      <c r="D151" s="1010">
        <f>'[2]1.3.sz.mell.'!D156</f>
        <v>0</v>
      </c>
      <c r="E151" s="986">
        <f t="shared" si="2"/>
        <v>0</v>
      </c>
    </row>
    <row r="152" spans="1:5" ht="12.75" customHeight="1" x14ac:dyDescent="0.2">
      <c r="A152" s="207" t="s">
        <v>246</v>
      </c>
      <c r="B152" s="6" t="s">
        <v>519</v>
      </c>
      <c r="C152" s="106"/>
      <c r="D152" s="1010">
        <f>'[2]1.3.sz.mell.'!D157</f>
        <v>0</v>
      </c>
      <c r="E152" s="986">
        <f t="shared" si="2"/>
        <v>0</v>
      </c>
    </row>
    <row r="153" spans="1:5" ht="12.75" customHeight="1" thickBot="1" x14ac:dyDescent="0.25">
      <c r="A153" s="216" t="s">
        <v>489</v>
      </c>
      <c r="B153" s="4" t="s">
        <v>490</v>
      </c>
      <c r="C153" s="107"/>
      <c r="D153" s="1010">
        <f>'[2]1.3.sz.mell.'!D158</f>
        <v>0</v>
      </c>
      <c r="E153" s="986">
        <f t="shared" si="2"/>
        <v>0</v>
      </c>
    </row>
    <row r="154" spans="1:5" ht="12.75" customHeight="1" thickBot="1" x14ac:dyDescent="0.25">
      <c r="A154" s="264" t="s">
        <v>28</v>
      </c>
      <c r="B154" s="57" t="s">
        <v>491</v>
      </c>
      <c r="C154" s="292"/>
      <c r="D154" s="1010">
        <f>'[2]1.3.sz.mell.'!D159</f>
        <v>0</v>
      </c>
      <c r="E154" s="986">
        <f t="shared" si="2"/>
        <v>0</v>
      </c>
    </row>
    <row r="155" spans="1:5" ht="12" customHeight="1" thickBot="1" x14ac:dyDescent="0.25">
      <c r="A155" s="264" t="s">
        <v>29</v>
      </c>
      <c r="B155" s="57" t="s">
        <v>492</v>
      </c>
      <c r="C155" s="292"/>
      <c r="D155" s="1010">
        <f>'[2]1.3.sz.mell.'!D160</f>
        <v>0</v>
      </c>
      <c r="E155" s="986">
        <f t="shared" si="2"/>
        <v>0</v>
      </c>
    </row>
    <row r="156" spans="1:5" ht="15" customHeight="1" thickBot="1" x14ac:dyDescent="0.25">
      <c r="A156" s="25" t="s">
        <v>30</v>
      </c>
      <c r="B156" s="57" t="s">
        <v>493</v>
      </c>
      <c r="C156" s="293">
        <f>+C132+C136+C143+C148+C154+C155</f>
        <v>3474590</v>
      </c>
      <c r="D156" s="1010">
        <f>'[2]1.3.sz.mell.'!D161</f>
        <v>3474590</v>
      </c>
      <c r="E156" s="986">
        <f t="shared" si="2"/>
        <v>0</v>
      </c>
    </row>
    <row r="157" spans="1:5" ht="16.5" thickBot="1" x14ac:dyDescent="0.25">
      <c r="A157" s="218" t="s">
        <v>31</v>
      </c>
      <c r="B157" s="178" t="s">
        <v>494</v>
      </c>
      <c r="C157" s="293">
        <f>+C131+C156</f>
        <v>101405005</v>
      </c>
      <c r="D157" s="1010">
        <f>'[2]1.3.sz.mell.'!D162</f>
        <v>99211889</v>
      </c>
      <c r="E157" s="986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945</v>
      </c>
      <c r="B159" s="103"/>
      <c r="C159" s="1059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4"/>
  <dimension ref="A1:S64"/>
  <sheetViews>
    <sheetView zoomScale="115" zoomScaleNormal="115" zoomScaleSheetLayoutView="100" zoomScalePageLayoutView="8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12.6640625" style="365" bestFit="1" customWidth="1"/>
    <col min="4" max="4" width="10" style="1019" hidden="1" customWidth="1"/>
    <col min="5" max="5" width="10.5" style="1019" hidden="1" customWidth="1"/>
    <col min="6" max="6" width="9.33203125" style="1030" hidden="1" customWidth="1"/>
    <col min="7" max="9" width="9.33203125" style="1030" customWidth="1"/>
    <col min="10" max="19" width="9.33203125" style="1030"/>
    <col min="20" max="16384" width="9.33203125" style="1013"/>
  </cols>
  <sheetData>
    <row r="1" spans="1:19" x14ac:dyDescent="0.2">
      <c r="A1" s="1504" t="str">
        <f>CONCATENATE("14. melléklet"," ",ALAPADATOK!A7," ",ALAPADATOK!B7," ",ALAPADATOK!C7," ",ALAPADATOK!D7," ",ALAPADATOK!E7," ",ALAPADATOK!F7," ",ALAPADATOK!G7," ",ALAPADATOK!H7)</f>
        <v>14. melléklet a  / 2020. (  ) önkormányzati rendelethez</v>
      </c>
      <c r="B1" s="1504"/>
      <c r="C1" s="1504"/>
    </row>
    <row r="2" spans="1:19" s="81" customFormat="1" ht="21" customHeight="1" thickBot="1" x14ac:dyDescent="0.25">
      <c r="A2" s="80"/>
      <c r="B2" s="82"/>
      <c r="C2" s="225"/>
      <c r="D2" s="1019"/>
      <c r="E2" s="1019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166</v>
      </c>
      <c r="B3" s="162" t="s">
        <v>444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165</v>
      </c>
      <c r="B4" s="163" t="s">
        <v>346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555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167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522</v>
      </c>
      <c r="C9" s="1196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99</v>
      </c>
      <c r="B10" s="7" t="s">
        <v>222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100</v>
      </c>
      <c r="B11" s="5" t="s">
        <v>223</v>
      </c>
      <c r="C11" s="1194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101</v>
      </c>
      <c r="B12" s="5" t="s">
        <v>224</v>
      </c>
      <c r="C12" s="1194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102</v>
      </c>
      <c r="B13" s="5" t="s">
        <v>225</v>
      </c>
      <c r="C13" s="1194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125</v>
      </c>
      <c r="B14" s="5" t="s">
        <v>226</v>
      </c>
      <c r="C14" s="1194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103</v>
      </c>
      <c r="B15" s="5" t="s">
        <v>347</v>
      </c>
      <c r="C15" s="1194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104</v>
      </c>
      <c r="B16" s="4" t="s">
        <v>348</v>
      </c>
      <c r="C16" s="1194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114</v>
      </c>
      <c r="B17" s="5" t="s">
        <v>229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115</v>
      </c>
      <c r="B18" s="5" t="s">
        <v>230</v>
      </c>
      <c r="C18" s="1194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116</v>
      </c>
      <c r="B19" s="5" t="s">
        <v>452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117</v>
      </c>
      <c r="B20" s="4" t="s">
        <v>231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105</v>
      </c>
      <c r="B22" s="6" t="s">
        <v>200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106</v>
      </c>
      <c r="B23" s="5" t="s">
        <v>350</v>
      </c>
      <c r="C23" s="1194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107</v>
      </c>
      <c r="B24" s="5" t="s">
        <v>351</v>
      </c>
      <c r="C24" s="1199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108</v>
      </c>
      <c r="B25" s="5" t="s">
        <v>523</v>
      </c>
      <c r="C25" s="1194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139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210</v>
      </c>
      <c r="B28" s="223" t="s">
        <v>205</v>
      </c>
      <c r="C28" s="1193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213</v>
      </c>
      <c r="B29" s="223" t="s">
        <v>350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214</v>
      </c>
      <c r="B30" s="224" t="s">
        <v>352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215</v>
      </c>
      <c r="B31" s="60" t="s">
        <v>525</v>
      </c>
      <c r="C31" s="1195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353</v>
      </c>
      <c r="C32" s="1196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92</v>
      </c>
      <c r="B33" s="223" t="s">
        <v>236</v>
      </c>
      <c r="C33" s="1193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93</v>
      </c>
      <c r="B34" s="224" t="s">
        <v>237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94</v>
      </c>
      <c r="B35" s="60" t="s">
        <v>238</v>
      </c>
      <c r="C35" s="1195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324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354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356</v>
      </c>
      <c r="C39" s="1197">
        <f>+C40+C41+C42</f>
        <v>235026090</v>
      </c>
      <c r="D39" s="402">
        <f>'9.2.1. sz. mell'!C39+'9.2.2. sz.  mell'!C39+'9.2.3. sz. mell.'!C39</f>
        <v>235026090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357</v>
      </c>
      <c r="B40" s="223" t="s">
        <v>181</v>
      </c>
      <c r="C40" s="1193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306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358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359</v>
      </c>
      <c r="B42" s="60" t="s">
        <v>360</v>
      </c>
      <c r="C42" s="1200">
        <f>232822178+356651+378924+1207300+2583</f>
        <v>234767636</v>
      </c>
      <c r="D42" s="402">
        <f>'9.2.1. sz. mell'!C42+'9.2.2. sz.  mell'!C42+'9.2.3. sz. mell.'!C42</f>
        <v>234767636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361</v>
      </c>
      <c r="C43" s="172">
        <f>+C38+C39</f>
        <v>245508704</v>
      </c>
      <c r="D43" s="402">
        <f>'9.2.1. sz. mell'!C43+'9.2.2. sz.  mell'!C43+'9.2.3. sz. mell.'!C43</f>
        <v>245508704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19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362</v>
      </c>
      <c r="C47" s="1196">
        <f>SUM(C48:C52)</f>
        <v>240461304</v>
      </c>
      <c r="D47" s="402">
        <f>'9.2.1. sz. mell'!C47+'9.2.2. sz.  mell'!C47+'9.2.3. sz. mell.'!C47</f>
        <v>240461304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99</v>
      </c>
      <c r="B48" s="6" t="s">
        <v>51</v>
      </c>
      <c r="C48" s="682">
        <f>164405869+244800+967861</f>
        <v>165618530</v>
      </c>
      <c r="D48" s="402">
        <f>'9.2.1. sz. mell'!C48+'9.2.2. sz.  mell'!C48+'9.2.3. sz. mell.'!C48</f>
        <v>165618530</v>
      </c>
      <c r="E48" s="582">
        <f t="shared" si="1"/>
        <v>0</v>
      </c>
    </row>
    <row r="49" spans="1:19" ht="12" customHeight="1" x14ac:dyDescent="0.2">
      <c r="A49" s="221" t="s">
        <v>100</v>
      </c>
      <c r="B49" s="5" t="s">
        <v>148</v>
      </c>
      <c r="C49" s="676">
        <f>32731163+42840-588937</f>
        <v>32185066</v>
      </c>
      <c r="D49" s="402">
        <f>'9.2.1. sz. mell'!C49+'9.2.2. sz.  mell'!C49+'9.2.3. sz. mell.'!C49</f>
        <v>32185066</v>
      </c>
      <c r="E49" s="582">
        <f t="shared" si="1"/>
        <v>0</v>
      </c>
    </row>
    <row r="50" spans="1:19" ht="12" customHeight="1" x14ac:dyDescent="0.2">
      <c r="A50" s="221" t="s">
        <v>101</v>
      </c>
      <c r="B50" s="5" t="s">
        <v>124</v>
      </c>
      <c r="C50" s="1199">
        <f>41447825+1207300+2583</f>
        <v>42657708</v>
      </c>
      <c r="D50" s="402">
        <f>'9.2.1. sz. mell'!C50+'9.2.2. sz.  mell'!C50+'9.2.3. sz. mell.'!C50</f>
        <v>42657708</v>
      </c>
      <c r="E50" s="582">
        <f t="shared" si="1"/>
        <v>0</v>
      </c>
    </row>
    <row r="51" spans="1:19" ht="12" customHeight="1" x14ac:dyDescent="0.2">
      <c r="A51" s="221" t="s">
        <v>102</v>
      </c>
      <c r="B51" s="5" t="s">
        <v>149</v>
      </c>
      <c r="C51" s="1194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125</v>
      </c>
      <c r="B52" s="5" t="s">
        <v>150</v>
      </c>
      <c r="C52" s="1194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363</v>
      </c>
      <c r="C53" s="1196">
        <f>SUM(C54:C56)</f>
        <v>5047400</v>
      </c>
      <c r="D53" s="402">
        <f>'9.2.1. sz. mell'!C53+'9.2.2. sz.  mell'!C53+'9.2.3. sz. mell.'!C53</f>
        <v>5047400</v>
      </c>
      <c r="E53" s="582">
        <f t="shared" si="1"/>
        <v>0</v>
      </c>
    </row>
    <row r="54" spans="1:19" s="230" customFormat="1" ht="12" customHeight="1" x14ac:dyDescent="0.2">
      <c r="A54" s="221" t="s">
        <v>105</v>
      </c>
      <c r="B54" s="6" t="s">
        <v>172</v>
      </c>
      <c r="C54" s="1193">
        <v>5047400</v>
      </c>
      <c r="D54" s="402">
        <f>'9.2.1. sz. mell'!C54+'9.2.2. sz.  mell'!C54+'9.2.3. sz. mell.'!C54</f>
        <v>5047400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106</v>
      </c>
      <c r="B55" s="5" t="s">
        <v>152</v>
      </c>
      <c r="C55" s="1194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107</v>
      </c>
      <c r="B56" s="5" t="s">
        <v>60</v>
      </c>
      <c r="C56" s="1194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108</v>
      </c>
      <c r="B57" s="5" t="s">
        <v>526</v>
      </c>
      <c r="C57" s="1194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527</v>
      </c>
      <c r="C59" s="173">
        <f>+C47+C53+C58</f>
        <v>245508704</v>
      </c>
      <c r="D59" s="402">
        <f>'9.2.1. sz. mell'!C59+'9.2.2. sz.  mell'!C59+'9.2.3. sz. mell.'!C59</f>
        <v>245508704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520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25"/>
  <dimension ref="A1:C61"/>
  <sheetViews>
    <sheetView zoomScale="115" zoomScaleNormal="115" zoomScalePageLayoutView="7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504" t="str">
        <f>CONCATENATE("15. melléklet"," ",ALAPADATOK!A7," ",ALAPADATOK!B7," ",ALAPADATOK!C7," ",ALAPADATOK!D7," ",ALAPADATOK!E7," ",ALAPADATOK!F7," ",ALAPADATOK!G7," ",ALAPADATOK!H7)</f>
        <v>15.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364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3257614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29">
        <v>2565050</v>
      </c>
    </row>
    <row r="12" spans="1:3" s="177" customFormat="1" ht="12" customHeight="1" x14ac:dyDescent="0.2">
      <c r="A12" s="221" t="s">
        <v>101</v>
      </c>
      <c r="B12" s="5" t="s">
        <v>224</v>
      </c>
      <c r="C12" s="129"/>
    </row>
    <row r="13" spans="1:3" s="177" customFormat="1" ht="12" customHeight="1" x14ac:dyDescent="0.2">
      <c r="A13" s="221" t="s">
        <v>102</v>
      </c>
      <c r="B13" s="5" t="s">
        <v>225</v>
      </c>
      <c r="C13" s="129"/>
    </row>
    <row r="14" spans="1:3" s="177" customFormat="1" ht="12" customHeight="1" x14ac:dyDescent="0.2">
      <c r="A14" s="221" t="s">
        <v>125</v>
      </c>
      <c r="B14" s="5" t="s">
        <v>226</v>
      </c>
      <c r="C14" s="129"/>
    </row>
    <row r="15" spans="1:3" s="177" customFormat="1" ht="12" customHeight="1" x14ac:dyDescent="0.2">
      <c r="A15" s="221" t="s">
        <v>103</v>
      </c>
      <c r="B15" s="5" t="s">
        <v>347</v>
      </c>
      <c r="C15" s="129">
        <v>692564</v>
      </c>
    </row>
    <row r="16" spans="1:3" s="177" customFormat="1" ht="12" customHeight="1" x14ac:dyDescent="0.2">
      <c r="A16" s="221" t="s">
        <v>104</v>
      </c>
      <c r="B16" s="4" t="s">
        <v>348</v>
      </c>
      <c r="C16" s="129"/>
    </row>
    <row r="17" spans="1:3" s="177" customFormat="1" ht="12" customHeight="1" x14ac:dyDescent="0.2">
      <c r="A17" s="221" t="s">
        <v>114</v>
      </c>
      <c r="B17" s="5" t="s">
        <v>229</v>
      </c>
      <c r="C17" s="168"/>
    </row>
    <row r="18" spans="1:3" s="229" customFormat="1" ht="12" customHeight="1" x14ac:dyDescent="0.2">
      <c r="A18" s="221" t="s">
        <v>115</v>
      </c>
      <c r="B18" s="5" t="s">
        <v>230</v>
      </c>
      <c r="C18" s="129"/>
    </row>
    <row r="19" spans="1:3" s="229" customFormat="1" ht="12" customHeight="1" x14ac:dyDescent="0.2">
      <c r="A19" s="221" t="s">
        <v>116</v>
      </c>
      <c r="B19" s="5" t="s">
        <v>452</v>
      </c>
      <c r="C19" s="130"/>
    </row>
    <row r="20" spans="1:3" s="229" customFormat="1" ht="12" customHeight="1" thickBot="1" x14ac:dyDescent="0.25">
      <c r="A20" s="221" t="s">
        <v>117</v>
      </c>
      <c r="B20" s="4" t="s">
        <v>231</v>
      </c>
      <c r="C20" s="130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5580893</v>
      </c>
    </row>
    <row r="40" spans="1:3" s="177" customFormat="1" ht="12" customHeight="1" x14ac:dyDescent="0.2">
      <c r="A40" s="222" t="s">
        <v>357</v>
      </c>
      <c r="B40" s="223" t="s">
        <v>181</v>
      </c>
      <c r="C40" s="1193">
        <f>327465-69011</f>
        <v>258454</v>
      </c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200">
        <f>3002388+2308446+9022+2583</f>
        <v>5322439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8838507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6">
        <f>SUM(C48:C52)</f>
        <v>8608507</v>
      </c>
    </row>
    <row r="48" spans="1:3" ht="12" customHeight="1" x14ac:dyDescent="0.2">
      <c r="A48" s="221" t="s">
        <v>99</v>
      </c>
      <c r="B48" s="6" t="s">
        <v>51</v>
      </c>
      <c r="C48" s="1193">
        <f>4072814+1888592+41795</f>
        <v>6003201</v>
      </c>
    </row>
    <row r="49" spans="1:3" ht="12" customHeight="1" x14ac:dyDescent="0.2">
      <c r="A49" s="221" t="s">
        <v>100</v>
      </c>
      <c r="B49" s="5" t="s">
        <v>148</v>
      </c>
      <c r="C49" s="1194">
        <f>748356+350843-32773</f>
        <v>1066426</v>
      </c>
    </row>
    <row r="50" spans="1:3" ht="12" customHeight="1" x14ac:dyDescent="0.2">
      <c r="A50" s="221" t="s">
        <v>101</v>
      </c>
      <c r="B50" s="5" t="s">
        <v>124</v>
      </c>
      <c r="C50" s="1199">
        <f>1536297+2583</f>
        <v>1538880</v>
      </c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230000</v>
      </c>
    </row>
    <row r="54" spans="1:3" s="230" customFormat="1" ht="12" customHeight="1" x14ac:dyDescent="0.2">
      <c r="A54" s="221" t="s">
        <v>105</v>
      </c>
      <c r="B54" s="6" t="s">
        <v>172</v>
      </c>
      <c r="C54" s="1193">
        <v>230000</v>
      </c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8838507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26"/>
  <dimension ref="A1:C61"/>
  <sheetViews>
    <sheetView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/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/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8"/>
    </row>
    <row r="49" spans="1:3" ht="12" customHeight="1" x14ac:dyDescent="0.2">
      <c r="A49" s="221" t="s">
        <v>100</v>
      </c>
      <c r="B49" s="5" t="s">
        <v>148</v>
      </c>
      <c r="C49" s="1199"/>
    </row>
    <row r="50" spans="1:3" ht="12" customHeight="1" x14ac:dyDescent="0.2">
      <c r="A50" s="221" t="s">
        <v>101</v>
      </c>
      <c r="B50" s="5" t="s">
        <v>124</v>
      </c>
      <c r="C50" s="1199"/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s="230" customFormat="1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27"/>
  <dimension ref="A1:D61"/>
  <sheetViews>
    <sheetView zoomScale="115" zoomScaleNormal="115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CONCATENATE("16. melléklet"," ",ALAPADATOK!A7," ",ALAPADATOK!B7," ",ALAPADATOK!C7," ",ALAPADATOK!D7," ",ALAPADATOK!E7," ",ALAPADATOK!F7," ",ALAPADATOK!G7," ",ALAPADATOK!H7)</f>
        <v>16.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528</v>
      </c>
      <c r="C4" s="176" t="s">
        <v>378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6925000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>
        <v>5000000</v>
      </c>
    </row>
    <row r="12" spans="1:3" s="177" customFormat="1" ht="12" customHeight="1" x14ac:dyDescent="0.2">
      <c r="A12" s="221" t="s">
        <v>101</v>
      </c>
      <c r="B12" s="5" t="s">
        <v>224</v>
      </c>
      <c r="C12" s="1194">
        <v>200000</v>
      </c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>
        <v>1485000</v>
      </c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300000</v>
      </c>
    </row>
    <row r="33" spans="1:4" s="229" customFormat="1" ht="12" customHeight="1" x14ac:dyDescent="0.2">
      <c r="A33" s="222" t="s">
        <v>92</v>
      </c>
      <c r="B33" s="223" t="s">
        <v>236</v>
      </c>
      <c r="C33" s="1193"/>
    </row>
    <row r="34" spans="1:4" s="229" customFormat="1" ht="12" customHeight="1" x14ac:dyDescent="0.2">
      <c r="A34" s="222" t="s">
        <v>93</v>
      </c>
      <c r="B34" s="224" t="s">
        <v>237</v>
      </c>
      <c r="C34" s="132"/>
    </row>
    <row r="35" spans="1:4" s="229" customFormat="1" ht="12" customHeight="1" thickBot="1" x14ac:dyDescent="0.25">
      <c r="A35" s="221" t="s">
        <v>94</v>
      </c>
      <c r="B35" s="60" t="s">
        <v>238</v>
      </c>
      <c r="C35" s="1195">
        <v>300000</v>
      </c>
    </row>
    <row r="36" spans="1:4" s="177" customFormat="1" ht="12" customHeight="1" thickBot="1" x14ac:dyDescent="0.25">
      <c r="A36" s="77" t="s">
        <v>26</v>
      </c>
      <c r="B36" s="57" t="s">
        <v>324</v>
      </c>
      <c r="C36" s="152"/>
    </row>
    <row r="37" spans="1:4" s="177" customFormat="1" ht="12" customHeight="1" thickBot="1" x14ac:dyDescent="0.25">
      <c r="A37" s="77" t="s">
        <v>27</v>
      </c>
      <c r="B37" s="57" t="s">
        <v>354</v>
      </c>
      <c r="C37" s="169"/>
    </row>
    <row r="38" spans="1:4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356</v>
      </c>
      <c r="C39" s="1197">
        <f>+C40+C41+C42</f>
        <v>229445197</v>
      </c>
    </row>
    <row r="40" spans="1:4" s="177" customFormat="1" ht="12" customHeight="1" x14ac:dyDescent="0.2">
      <c r="A40" s="222" t="s">
        <v>357</v>
      </c>
      <c r="B40" s="223" t="s">
        <v>181</v>
      </c>
      <c r="C40" s="1193"/>
      <c r="D40" s="277"/>
    </row>
    <row r="41" spans="1:4" s="177" customFormat="1" ht="12" customHeight="1" x14ac:dyDescent="0.2">
      <c r="A41" s="222" t="s">
        <v>358</v>
      </c>
      <c r="B41" s="224" t="s">
        <v>9</v>
      </c>
      <c r="C41" s="132"/>
    </row>
    <row r="42" spans="1:4" s="229" customFormat="1" ht="12" customHeight="1" thickBot="1" x14ac:dyDescent="0.25">
      <c r="A42" s="221" t="s">
        <v>359</v>
      </c>
      <c r="B42" s="60" t="s">
        <v>360</v>
      </c>
      <c r="C42" s="1200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361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362</v>
      </c>
      <c r="C47" s="1196">
        <f>SUM(C48:C52)</f>
        <v>231852797</v>
      </c>
    </row>
    <row r="48" spans="1:4" ht="12" customHeight="1" x14ac:dyDescent="0.2">
      <c r="A48" s="221" t="s">
        <v>99</v>
      </c>
      <c r="B48" s="6" t="s">
        <v>51</v>
      </c>
      <c r="C48" s="1198">
        <f>160333055-1643792+926066</f>
        <v>159615329</v>
      </c>
    </row>
    <row r="49" spans="1:3" ht="12" customHeight="1" x14ac:dyDescent="0.2">
      <c r="A49" s="221" t="s">
        <v>100</v>
      </c>
      <c r="B49" s="5" t="s">
        <v>148</v>
      </c>
      <c r="C49" s="1199">
        <f>31982807-308003-556164</f>
        <v>31118640</v>
      </c>
    </row>
    <row r="50" spans="1:3" ht="12" customHeight="1" x14ac:dyDescent="0.2">
      <c r="A50" s="221" t="s">
        <v>101</v>
      </c>
      <c r="B50" s="5" t="s">
        <v>124</v>
      </c>
      <c r="C50" s="1199">
        <f>39911528+1207300</f>
        <v>41118828</v>
      </c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4817400</v>
      </c>
    </row>
    <row r="54" spans="1:3" s="230" customFormat="1" ht="12" customHeight="1" x14ac:dyDescent="0.2">
      <c r="A54" s="221" t="s">
        <v>105</v>
      </c>
      <c r="B54" s="6" t="s">
        <v>172</v>
      </c>
      <c r="C54" s="1193">
        <v>4817400</v>
      </c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236670197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8"/>
  <dimension ref="A1:F61"/>
  <sheetViews>
    <sheetView workbookViewId="0">
      <selection activeCell="I24" sqref="I2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9.83203125" style="1037" hidden="1" customWidth="1"/>
    <col min="7" max="7" width="8" style="1013" customWidth="1"/>
    <col min="8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CONCATENATE("17. melléklet"," ",ALAPADATOK!A7," ",ALAPADATOK!B7," ",ALAPADATOK!C7," ",ALAPADATOK!D7," ",ALAPADATOK!E7," ",ALAPADATOK!F7," ",ALAPADATOK!G7," ",ALAPADATOK!H7)</f>
        <v>17. melléklet a  / 2020. ( 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" customHeight="1" x14ac:dyDescent="0.2">
      <c r="A3" s="183" t="s">
        <v>166</v>
      </c>
      <c r="B3" s="162" t="s">
        <v>403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  <c r="E39" s="575">
        <f>'9.3.1. sz. mell EOI'!C39+'9.3.2.sz.mell EOI'!C39</f>
        <v>328160001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  <c r="E42" s="575">
        <f>'9.3.1. sz. mell EOI'!C42+'9.3.2.sz.mell EOI'!C42</f>
        <v>327407275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  <c r="E43" s="575">
        <f>'9.3.1. sz. mell EOI'!C43+'9.3.2.sz.mell EOI'!C43</f>
        <v>336671511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335248961</v>
      </c>
      <c r="E47" s="575">
        <f>'9.3.1. sz. mell EOI'!C47+'9.3.2.sz.mell EOI'!C47</f>
        <v>335248961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200165718+7034200+2479360</f>
        <v>209679278</v>
      </c>
      <c r="E48" s="575">
        <f>'9.3.1. sz. mell EOI'!C48+'9.3.2.sz.mell EOI'!C48</f>
        <v>209679278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40236890+1090301+384301</f>
        <v>41711492</v>
      </c>
      <c r="E49" s="575">
        <f>'9.3.1. sz. mell EOI'!C49+'9.3.2.sz.mell EOI'!C49</f>
        <v>41711492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  <c r="E50" s="575">
        <f>'9.3.1. sz. mell EOI'!C50+'9.3.2.sz.mell EOI'!C50</f>
        <v>83858191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  <c r="E53" s="575">
        <f>'9.3.1. sz. mell EOI'!C53+'9.3.2.sz.mell EOI'!C53</f>
        <v>1422550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712620</v>
      </c>
      <c r="E54" s="575">
        <f>'9.3.1. sz. mell EOI'!C54+'9.3.2.sz.mell EOI'!C54</f>
        <v>712620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709930</v>
      </c>
      <c r="E55" s="575">
        <f>'9.3.1. sz. mell EOI'!C55+'9.3.2.sz.mell EOI'!C55</f>
        <v>709930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  <c r="E59" s="575">
        <f>'9.3.1. sz. mell EOI'!C59+'9.3.2.sz.mell EOI'!C59</f>
        <v>336671511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I168"/>
  <sheetViews>
    <sheetView zoomScale="115" zoomScaleNormal="115" zoomScaleSheetLayoutView="100" workbookViewId="0">
      <selection activeCell="B18" sqref="B1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9" customFormat="1" x14ac:dyDescent="0.25">
      <c r="A1" s="1455" t="str">
        <f>CONCATENATE("2. melléklet"," ",ALAPADATOK!A7," ",ALAPADATOK!B7," ",ALAPADATOK!C7," ",ALAPADATOK!D7," ",ALAPADATOK!E7," ",ALAPADATOK!F7," ",ALAPADATOK!G7," ",ALAPADATOK!H7)</f>
        <v>2. melléklet a  / 2020. (  ) önkormányzati rendelethez</v>
      </c>
      <c r="B1" s="1455"/>
      <c r="C1" s="1455"/>
    </row>
    <row r="2" spans="1:6" s="1078" customFormat="1" x14ac:dyDescent="0.25">
      <c r="A2" s="904"/>
      <c r="B2" s="904"/>
      <c r="C2" s="904"/>
    </row>
    <row r="3" spans="1:6" s="849" customFormat="1" x14ac:dyDescent="0.25">
      <c r="A3" s="1453" t="str">
        <f>CONCATENATE(ALAPADATOK!A3)</f>
        <v>Tiszavasvári Város Önkormányzat</v>
      </c>
      <c r="B3" s="1453"/>
      <c r="C3" s="1453"/>
    </row>
    <row r="4" spans="1:6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6" s="849" customFormat="1" x14ac:dyDescent="0.25">
      <c r="A5" s="1454" t="s">
        <v>891</v>
      </c>
      <c r="B5" s="1454"/>
      <c r="C5" s="1454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7" t="s">
        <v>18</v>
      </c>
      <c r="B7" s="1457"/>
      <c r="C7" s="1457"/>
    </row>
    <row r="8" spans="1:6" ht="15.95" customHeight="1" thickBot="1" x14ac:dyDescent="0.3">
      <c r="A8" s="1456" t="s">
        <v>128</v>
      </c>
      <c r="B8" s="1456"/>
      <c r="C8" s="126" t="s">
        <v>554</v>
      </c>
    </row>
    <row r="9" spans="1:6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1296574692</v>
      </c>
      <c r="D11" s="282">
        <f>+D12+D13+D14+D17+D18+D19</f>
        <v>1296574692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100</v>
      </c>
      <c r="B13" s="194" t="s">
        <v>196</v>
      </c>
      <c r="C13" s="305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101</v>
      </c>
      <c r="B14" s="194" t="s">
        <v>998</v>
      </c>
      <c r="C14" s="305">
        <f t="shared" si="0"/>
        <v>619801644</v>
      </c>
      <c r="D14" s="267">
        <f>SUM(D15:D16)</f>
        <v>619801644</v>
      </c>
      <c r="E14" s="121"/>
      <c r="F14" s="121"/>
    </row>
    <row r="15" spans="1:6" s="192" customFormat="1" ht="12" customHeight="1" x14ac:dyDescent="0.2">
      <c r="A15" s="11" t="s">
        <v>996</v>
      </c>
      <c r="B15" s="194" t="s">
        <v>999</v>
      </c>
      <c r="C15" s="305">
        <f t="shared" si="0"/>
        <v>429893602</v>
      </c>
      <c r="D15" s="1014">
        <f>415622102+9775700+4495800</f>
        <v>429893602</v>
      </c>
      <c r="E15" s="121"/>
      <c r="F15" s="121"/>
    </row>
    <row r="16" spans="1:6" s="192" customFormat="1" ht="12" customHeight="1" x14ac:dyDescent="0.2">
      <c r="A16" s="11" t="s">
        <v>997</v>
      </c>
      <c r="B16" s="194" t="s">
        <v>1000</v>
      </c>
      <c r="C16" s="305">
        <f t="shared" si="0"/>
        <v>189908042</v>
      </c>
      <c r="D16" s="121">
        <f>186127562+3780480</f>
        <v>189908042</v>
      </c>
      <c r="E16" s="121"/>
      <c r="F16" s="121"/>
    </row>
    <row r="17" spans="1:8" s="192" customFormat="1" ht="12" customHeight="1" x14ac:dyDescent="0.2">
      <c r="A17" s="11" t="s">
        <v>102</v>
      </c>
      <c r="B17" s="194" t="s">
        <v>198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8" s="192" customFormat="1" ht="12" customHeight="1" x14ac:dyDescent="0.2">
      <c r="A18" s="11" t="s">
        <v>125</v>
      </c>
      <c r="B18" s="113" t="s">
        <v>449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8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8" s="192" customFormat="1" ht="12" customHeight="1" thickBot="1" x14ac:dyDescent="0.25">
      <c r="A20" s="17" t="s">
        <v>22</v>
      </c>
      <c r="B20" s="112" t="s">
        <v>199</v>
      </c>
      <c r="C20" s="117">
        <f t="shared" si="0"/>
        <v>130581984</v>
      </c>
      <c r="D20" s="282">
        <f>+D21+D22+D23+D24+D25</f>
        <v>109617378</v>
      </c>
      <c r="E20" s="117">
        <f>+E21+E22+E23+E24+E25</f>
        <v>0</v>
      </c>
      <c r="F20" s="117">
        <f>+F21+F22+F23+F24+F25</f>
        <v>20964606</v>
      </c>
    </row>
    <row r="21" spans="1:8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8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8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8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8" s="192" customFormat="1" ht="12" customHeight="1" x14ac:dyDescent="0.2">
      <c r="A25" s="11" t="s">
        <v>109</v>
      </c>
      <c r="B25" s="194" t="s">
        <v>202</v>
      </c>
      <c r="C25" s="1140">
        <f t="shared" si="0"/>
        <v>130581984</v>
      </c>
      <c r="D25" s="267">
        <f>118106430+1540460-13262610+3233098</f>
        <v>109617378</v>
      </c>
      <c r="E25" s="269"/>
      <c r="F25" s="121">
        <f>9346560+11259187+358859</f>
        <v>20964606</v>
      </c>
    </row>
    <row r="26" spans="1:8" s="192" customFormat="1" ht="12" customHeight="1" thickBot="1" x14ac:dyDescent="0.25">
      <c r="A26" s="13" t="s">
        <v>118</v>
      </c>
      <c r="B26" s="114" t="s">
        <v>203</v>
      </c>
      <c r="C26" s="1375">
        <f t="shared" si="0"/>
        <v>125792781</v>
      </c>
      <c r="D26" s="107">
        <f>16392698+36497760+60895972+1540460-13262610+2763895</f>
        <v>104828175</v>
      </c>
      <c r="E26" s="182"/>
      <c r="F26" s="182">
        <f>9346560+11259187+358859</f>
        <v>20964606</v>
      </c>
    </row>
    <row r="27" spans="1:8" s="192" customFormat="1" ht="12" customHeight="1" thickBot="1" x14ac:dyDescent="0.25">
      <c r="A27" s="17" t="s">
        <v>23</v>
      </c>
      <c r="B27" s="18" t="s">
        <v>204</v>
      </c>
      <c r="C27" s="117">
        <f t="shared" si="0"/>
        <v>296294646</v>
      </c>
      <c r="D27" s="282">
        <f>+D28+D29+D30+D31+D32</f>
        <v>296294646</v>
      </c>
      <c r="E27" s="117">
        <f>+E28+E29+E30+E31+E32</f>
        <v>0</v>
      </c>
      <c r="F27" s="117">
        <f>+F28+F29+F30+F31+F32</f>
        <v>0</v>
      </c>
    </row>
    <row r="28" spans="1:8" s="192" customFormat="1" ht="12" customHeight="1" x14ac:dyDescent="0.2">
      <c r="A28" s="12" t="s">
        <v>88</v>
      </c>
      <c r="B28" s="193" t="s">
        <v>205</v>
      </c>
      <c r="C28" s="1376">
        <f t="shared" si="0"/>
        <v>34511116</v>
      </c>
      <c r="D28" s="286">
        <v>34511116</v>
      </c>
      <c r="E28" s="266"/>
      <c r="F28" s="589"/>
    </row>
    <row r="29" spans="1:8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267"/>
      <c r="E29" s="121"/>
      <c r="F29" s="121"/>
    </row>
    <row r="30" spans="1:8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267"/>
      <c r="E30" s="121"/>
      <c r="F30" s="121"/>
      <c r="H30" s="1427"/>
    </row>
    <row r="31" spans="1:8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267"/>
      <c r="E31" s="121"/>
      <c r="F31" s="121"/>
    </row>
    <row r="32" spans="1:8" s="192" customFormat="1" ht="12" customHeight="1" x14ac:dyDescent="0.2">
      <c r="A32" s="11" t="s">
        <v>136</v>
      </c>
      <c r="B32" s="194" t="s">
        <v>207</v>
      </c>
      <c r="C32" s="1140">
        <f t="shared" si="0"/>
        <v>261783530</v>
      </c>
      <c r="D32" s="267">
        <f>36977634-2533650+227339546</f>
        <v>261783530</v>
      </c>
      <c r="E32" s="121"/>
      <c r="F32" s="121"/>
    </row>
    <row r="33" spans="1:6" s="192" customFormat="1" ht="12" customHeight="1" thickBot="1" x14ac:dyDescent="0.25">
      <c r="A33" s="13" t="s">
        <v>137</v>
      </c>
      <c r="B33" s="195" t="s">
        <v>208</v>
      </c>
      <c r="C33" s="1375">
        <f t="shared" si="0"/>
        <v>236553830</v>
      </c>
      <c r="D33" s="271">
        <f>36977634-2533650+202109846</f>
        <v>236553830</v>
      </c>
      <c r="E33" s="182"/>
      <c r="F33" s="182"/>
    </row>
    <row r="34" spans="1:6" s="192" customFormat="1" ht="12" customHeight="1" thickBot="1" x14ac:dyDescent="0.25">
      <c r="A34" s="17" t="s">
        <v>138</v>
      </c>
      <c r="B34" s="18" t="s">
        <v>655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210</v>
      </c>
      <c r="B35" s="193" t="s">
        <v>651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211</v>
      </c>
      <c r="B36" s="194" t="s">
        <v>216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212</v>
      </c>
      <c r="B37" s="251" t="s">
        <v>650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213</v>
      </c>
      <c r="B38" s="194" t="s">
        <v>537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538</v>
      </c>
      <c r="B39" s="194" t="s">
        <v>217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215</v>
      </c>
      <c r="B40" s="194" t="s">
        <v>218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451</v>
      </c>
      <c r="C42" s="117">
        <f t="shared" si="0"/>
        <v>134269833</v>
      </c>
      <c r="D42" s="282">
        <f>SUM(D43:D53)</f>
        <v>43844817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92</v>
      </c>
      <c r="B43" s="193" t="s">
        <v>222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93</v>
      </c>
      <c r="B44" s="194" t="s">
        <v>223</v>
      </c>
      <c r="C44" s="1140">
        <f t="shared" si="0"/>
        <v>63139765</v>
      </c>
      <c r="D44" s="267">
        <f>14518450-38100</f>
        <v>14480350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94</v>
      </c>
      <c r="B45" s="194" t="s">
        <v>224</v>
      </c>
      <c r="C45" s="1140">
        <f t="shared" si="0"/>
        <v>16059469</v>
      </c>
      <c r="D45" s="267">
        <f>8868669+808800+200000+30000</f>
        <v>9907469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140</v>
      </c>
      <c r="B46" s="194" t="s">
        <v>225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141</v>
      </c>
      <c r="B47" s="194" t="s">
        <v>226</v>
      </c>
      <c r="C47" s="1140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142</v>
      </c>
      <c r="B48" s="194" t="s">
        <v>227</v>
      </c>
      <c r="C48" s="1140">
        <f t="shared" si="0"/>
        <v>17218428</v>
      </c>
      <c r="D48" s="267">
        <f>7168370+54000+8100</f>
        <v>7230470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144</v>
      </c>
      <c r="B50" s="194" t="s">
        <v>544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453</v>
      </c>
      <c r="B53" s="114" t="s">
        <v>231</v>
      </c>
      <c r="C53" s="1185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2406455738</v>
      </c>
      <c r="D70" s="285">
        <f>+D11+D20+D27+D34+D42+D54+D60+D65</f>
        <v>2295066116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310">
        <f t="shared" si="0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304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288</v>
      </c>
      <c r="B81" s="193" t="s">
        <v>266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1731474380</v>
      </c>
      <c r="D94" s="285">
        <f>+D71+D75+D80+D83+D87+D93+D92</f>
        <v>1709303675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259">
        <f t="shared" si="1"/>
        <v>4137930118</v>
      </c>
      <c r="D95" s="285">
        <f>+D70+D94</f>
        <v>4004369791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57" t="s">
        <v>49</v>
      </c>
      <c r="B97" s="1457"/>
      <c r="C97" s="1457"/>
      <c r="D97" s="179"/>
      <c r="E97" s="179"/>
      <c r="F97" s="179"/>
    </row>
    <row r="98" spans="1:6" s="202" customFormat="1" ht="16.5" customHeight="1" thickBot="1" x14ac:dyDescent="0.3">
      <c r="A98" s="1458" t="s">
        <v>129</v>
      </c>
      <c r="B98" s="1458"/>
      <c r="C98" s="59" t="s">
        <v>554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</row>
    <row r="100" spans="1:6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</row>
    <row r="101" spans="1:6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1757730300</v>
      </c>
      <c r="D101" s="290">
        <f>+D102+D103+D104+D105+D106+D119</f>
        <v>771416068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99</v>
      </c>
      <c r="B102" s="7" t="s">
        <v>51</v>
      </c>
      <c r="C102" s="1376">
        <f t="shared" si="2"/>
        <v>603620182</v>
      </c>
      <c r="D102" s="300">
        <f>50121817-89237+1224375+1888592+9563278-4699427-457270</f>
        <v>57552128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100</v>
      </c>
      <c r="B103" s="5" t="s">
        <v>148</v>
      </c>
      <c r="C103" s="1140">
        <f t="shared" si="2"/>
        <v>112654136</v>
      </c>
      <c r="D103" s="267">
        <f>8314149-97868+214264+350843+1425759-1270081+457270</f>
        <v>9394336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101</v>
      </c>
      <c r="B104" s="5" t="s">
        <v>124</v>
      </c>
      <c r="C104" s="1140">
        <f t="shared" si="2"/>
        <v>633951571</v>
      </c>
      <c r="D104" s="271">
        <f>307535372-649147+189000+18509-33359860+18212971-9196005+14216853</f>
        <v>296967693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102</v>
      </c>
      <c r="B105" s="5" t="s">
        <v>149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113</v>
      </c>
      <c r="B106" s="4" t="s">
        <v>150</v>
      </c>
      <c r="C106" s="308">
        <f t="shared" si="2"/>
        <v>204065134</v>
      </c>
      <c r="D106" s="271">
        <f>SUM(D107:D118)</f>
        <v>204062634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103</v>
      </c>
      <c r="B107" s="5" t="s">
        <v>460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8">
        <f t="shared" si="2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142139277</v>
      </c>
      <c r="D119" s="267">
        <f>SUM(D120:D121)</f>
        <v>142139277</v>
      </c>
      <c r="E119" s="121"/>
      <c r="F119" s="121"/>
    </row>
    <row r="120" spans="1:6" ht="12" customHeight="1" x14ac:dyDescent="0.25">
      <c r="A120" s="11" t="s">
        <v>466</v>
      </c>
      <c r="B120" s="5" t="s">
        <v>467</v>
      </c>
      <c r="C120" s="1140">
        <f t="shared" si="2"/>
        <v>47365869</v>
      </c>
      <c r="D120" s="1207">
        <f>20000000+10207308-13229384-322815+29863551-32000+769709+109500</f>
        <v>47365869</v>
      </c>
      <c r="E120" s="182"/>
      <c r="F120" s="121"/>
    </row>
    <row r="121" spans="1:6" ht="12" customHeight="1" thickBot="1" x14ac:dyDescent="0.3">
      <c r="A121" s="15" t="s">
        <v>468</v>
      </c>
      <c r="B121" s="256" t="s">
        <v>469</v>
      </c>
      <c r="C121" s="1140">
        <f t="shared" si="2"/>
        <v>94773408</v>
      </c>
      <c r="D121" s="301">
        <f>113540838-300000-1722008-810685-253737-15000000+11503705-12184705</f>
        <v>94773408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1173133310</v>
      </c>
      <c r="D122" s="282">
        <f>+D123+D125+D127</f>
        <v>1165607987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105</v>
      </c>
      <c r="B123" s="5" t="s">
        <v>172</v>
      </c>
      <c r="C123" s="1376">
        <f>SUM(D123:F123)</f>
        <v>636527627</v>
      </c>
      <c r="D123" s="286">
        <f>649199379+530-539760-98930-2000000+109147+1727000+-2097540-15972467-15125</f>
        <v>630312234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106</v>
      </c>
      <c r="B124" s="9" t="s">
        <v>312</v>
      </c>
      <c r="C124" s="1376">
        <f t="shared" si="2"/>
        <v>565316361</v>
      </c>
      <c r="D124" s="286">
        <f>600206715+530-539760-98930-30209788-2533650-1508756</f>
        <v>565316361</v>
      </c>
      <c r="E124" s="231"/>
      <c r="F124" s="231"/>
    </row>
    <row r="125" spans="1:6" ht="12" customHeight="1" x14ac:dyDescent="0.25">
      <c r="A125" s="12" t="s">
        <v>107</v>
      </c>
      <c r="B125" s="9" t="s">
        <v>152</v>
      </c>
      <c r="C125" s="1376">
        <f t="shared" si="2"/>
        <v>529726963</v>
      </c>
      <c r="D125" s="267">
        <f>262142296-1206500+677185+322815+3524000+262957237</f>
        <v>528417033</v>
      </c>
      <c r="E125" s="121"/>
      <c r="F125" s="121">
        <f>600000+709930</f>
        <v>1309930</v>
      </c>
    </row>
    <row r="126" spans="1:6" ht="12" customHeight="1" x14ac:dyDescent="0.25">
      <c r="A126" s="12" t="s">
        <v>108</v>
      </c>
      <c r="B126" s="9" t="s">
        <v>313</v>
      </c>
      <c r="C126" s="1376">
        <f t="shared" si="2"/>
        <v>285432147</v>
      </c>
      <c r="D126" s="267">
        <f>93559898-1206500+193078749</f>
        <v>285432147</v>
      </c>
      <c r="E126" s="590"/>
      <c r="F126" s="267"/>
    </row>
    <row r="127" spans="1:6" ht="12" customHeight="1" x14ac:dyDescent="0.25">
      <c r="A127" s="12" t="s">
        <v>109</v>
      </c>
      <c r="B127" s="114" t="s">
        <v>174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120</v>
      </c>
      <c r="B129" s="189" t="s">
        <v>318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153</v>
      </c>
      <c r="B130" s="62" t="s">
        <v>301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154</v>
      </c>
      <c r="B131" s="62" t="s">
        <v>317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155</v>
      </c>
      <c r="B132" s="62" t="s">
        <v>316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309</v>
      </c>
      <c r="B133" s="62" t="s">
        <v>304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310</v>
      </c>
      <c r="B134" s="62" t="s">
        <v>315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311</v>
      </c>
      <c r="B135" s="62" t="s">
        <v>314</v>
      </c>
      <c r="C135" s="304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2930863610</v>
      </c>
      <c r="D136" s="282">
        <f>+D101+D122</f>
        <v>1937024055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471</v>
      </c>
      <c r="C137" s="310">
        <f t="shared" si="2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6">
        <f t="shared" si="2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3699099708</v>
      </c>
      <c r="D162" s="293">
        <f>+D136+D161</f>
        <v>2705260153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54" t="s">
        <v>321</v>
      </c>
      <c r="B164" s="1454"/>
      <c r="C164" s="1454"/>
    </row>
    <row r="165" spans="1:9" ht="9.75" customHeight="1" thickBot="1" x14ac:dyDescent="0.3">
      <c r="A165" s="1456" t="s">
        <v>130</v>
      </c>
      <c r="B165" s="1456"/>
      <c r="C165" s="126" t="s">
        <v>554</v>
      </c>
    </row>
    <row r="166" spans="1:9" ht="21" customHeight="1" thickBot="1" x14ac:dyDescent="0.3">
      <c r="A166" s="17">
        <v>1</v>
      </c>
      <c r="B166" s="22" t="s">
        <v>495</v>
      </c>
      <c r="C166" s="117">
        <f>+C70-C136</f>
        <v>-524407872</v>
      </c>
    </row>
    <row r="167" spans="1:9" ht="21.75" thickBot="1" x14ac:dyDescent="0.3">
      <c r="A167" s="17" t="s">
        <v>22</v>
      </c>
      <c r="B167" s="22" t="s">
        <v>991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29"/>
  <dimension ref="A1:C61"/>
  <sheetViews>
    <sheetView workbookViewId="0">
      <selection activeCell="I24" sqref="I2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CONCATENATE("18. melléklet"," ",ALAPADATOK!A7," ",ALAPADATOK!B7," ",ALAPADATOK!C7," ",ALAPADATOK!D7," ",ALAPADATOK!E7," ",ALAPADATOK!F7," ",ALAPADATOK!G7," ",ALAPADATOK!H7)</f>
        <v>18.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166</v>
      </c>
      <c r="B3" s="162" t="s">
        <v>403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600000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4600000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366000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752726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335248961</v>
      </c>
    </row>
    <row r="48" spans="1:3" ht="12" customHeight="1" x14ac:dyDescent="0.2">
      <c r="A48" s="221" t="s">
        <v>99</v>
      </c>
      <c r="B48" s="6" t="s">
        <v>51</v>
      </c>
      <c r="C48" s="682">
        <f>200165718+7034200+2479360</f>
        <v>209679278</v>
      </c>
    </row>
    <row r="49" spans="1:3" ht="12" customHeight="1" x14ac:dyDescent="0.2">
      <c r="A49" s="221" t="s">
        <v>100</v>
      </c>
      <c r="B49" s="5" t="s">
        <v>148</v>
      </c>
      <c r="C49" s="676">
        <f>40236890+1090301+384301</f>
        <v>41711492</v>
      </c>
    </row>
    <row r="50" spans="1:3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</row>
    <row r="54" spans="1:3" ht="12" customHeight="1" x14ac:dyDescent="0.2">
      <c r="A54" s="221" t="s">
        <v>105</v>
      </c>
      <c r="B54" s="6" t="s">
        <v>172</v>
      </c>
      <c r="C54" s="682">
        <v>712620</v>
      </c>
    </row>
    <row r="55" spans="1:3" ht="12" customHeight="1" x14ac:dyDescent="0.2">
      <c r="A55" s="221" t="s">
        <v>106</v>
      </c>
      <c r="B55" s="5" t="s">
        <v>152</v>
      </c>
      <c r="C55" s="676">
        <v>709930</v>
      </c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0"/>
  <dimension ref="A1:C61"/>
  <sheetViews>
    <sheetView workbookViewId="0">
      <selection activeCell="I24" sqref="I24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5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505"/>
      <c r="C1" s="1505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166</v>
      </c>
      <c r="B3" s="162" t="s">
        <v>403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194"/>
    </row>
    <row r="12" spans="1:3" x14ac:dyDescent="0.2">
      <c r="A12" s="221" t="s">
        <v>101</v>
      </c>
      <c r="B12" s="5" t="s">
        <v>224</v>
      </c>
      <c r="C12" s="1194"/>
    </row>
    <row r="13" spans="1:3" x14ac:dyDescent="0.2">
      <c r="A13" s="221" t="s">
        <v>102</v>
      </c>
      <c r="B13" s="5" t="s">
        <v>225</v>
      </c>
      <c r="C13" s="1194"/>
    </row>
    <row r="14" spans="1:3" x14ac:dyDescent="0.2">
      <c r="A14" s="221" t="s">
        <v>125</v>
      </c>
      <c r="B14" s="5" t="s">
        <v>226</v>
      </c>
      <c r="C14" s="1194"/>
    </row>
    <row r="15" spans="1:3" x14ac:dyDescent="0.2">
      <c r="A15" s="221" t="s">
        <v>103</v>
      </c>
      <c r="B15" s="5" t="s">
        <v>347</v>
      </c>
      <c r="C15" s="1194"/>
    </row>
    <row r="16" spans="1:3" x14ac:dyDescent="0.2">
      <c r="A16" s="221" t="s">
        <v>104</v>
      </c>
      <c r="B16" s="4" t="s">
        <v>348</v>
      </c>
      <c r="C16" s="1194"/>
    </row>
    <row r="17" spans="1:3" x14ac:dyDescent="0.2">
      <c r="A17" s="221" t="s">
        <v>114</v>
      </c>
      <c r="B17" s="5" t="s">
        <v>229</v>
      </c>
      <c r="C17" s="132"/>
    </row>
    <row r="18" spans="1:3" x14ac:dyDescent="0.2">
      <c r="A18" s="221" t="s">
        <v>115</v>
      </c>
      <c r="B18" s="5" t="s">
        <v>230</v>
      </c>
      <c r="C18" s="1194"/>
    </row>
    <row r="19" spans="1:3" x14ac:dyDescent="0.2">
      <c r="A19" s="221" t="s">
        <v>116</v>
      </c>
      <c r="B19" s="5" t="s">
        <v>452</v>
      </c>
      <c r="C19" s="481"/>
    </row>
    <row r="20" spans="1:3" ht="13.5" thickBot="1" x14ac:dyDescent="0.25">
      <c r="A20" s="221" t="s">
        <v>117</v>
      </c>
      <c r="B20" s="4" t="s">
        <v>231</v>
      </c>
      <c r="C20" s="481"/>
    </row>
    <row r="21" spans="1:3" ht="13.5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194"/>
    </row>
    <row r="24" spans="1:3" x14ac:dyDescent="0.2">
      <c r="A24" s="221" t="s">
        <v>107</v>
      </c>
      <c r="B24" s="5" t="s">
        <v>351</v>
      </c>
      <c r="C24" s="1199"/>
    </row>
    <row r="25" spans="1:3" ht="13.5" thickBot="1" x14ac:dyDescent="0.25">
      <c r="A25" s="221" t="s">
        <v>108</v>
      </c>
      <c r="B25" s="5" t="s">
        <v>523</v>
      </c>
      <c r="C25" s="1194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x14ac:dyDescent="0.2">
      <c r="A28" s="222" t="s">
        <v>210</v>
      </c>
      <c r="B28" s="223" t="s">
        <v>205</v>
      </c>
      <c r="C28" s="1193"/>
    </row>
    <row r="29" spans="1:3" x14ac:dyDescent="0.2">
      <c r="A29" s="222" t="s">
        <v>213</v>
      </c>
      <c r="B29" s="223" t="s">
        <v>350</v>
      </c>
      <c r="C29" s="129"/>
    </row>
    <row r="30" spans="1:3" x14ac:dyDescent="0.2">
      <c r="A30" s="222" t="s">
        <v>214</v>
      </c>
      <c r="B30" s="224" t="s">
        <v>352</v>
      </c>
      <c r="C30" s="129"/>
    </row>
    <row r="31" spans="1:3" ht="13.5" thickBot="1" x14ac:dyDescent="0.25">
      <c r="A31" s="221" t="s">
        <v>215</v>
      </c>
      <c r="B31" s="60" t="s">
        <v>525</v>
      </c>
      <c r="C31" s="1195"/>
    </row>
    <row r="32" spans="1:3" ht="13.5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x14ac:dyDescent="0.2">
      <c r="A33" s="222" t="s">
        <v>92</v>
      </c>
      <c r="B33" s="223" t="s">
        <v>236</v>
      </c>
      <c r="C33" s="1193"/>
    </row>
    <row r="34" spans="1:3" x14ac:dyDescent="0.2">
      <c r="A34" s="222" t="s">
        <v>93</v>
      </c>
      <c r="B34" s="224" t="s">
        <v>237</v>
      </c>
      <c r="C34" s="132"/>
    </row>
    <row r="35" spans="1:3" ht="13.5" thickBot="1" x14ac:dyDescent="0.25">
      <c r="A35" s="221" t="s">
        <v>94</v>
      </c>
      <c r="B35" s="60" t="s">
        <v>238</v>
      </c>
      <c r="C35" s="1195"/>
    </row>
    <row r="36" spans="1:3" ht="13.5" thickBot="1" x14ac:dyDescent="0.25">
      <c r="A36" s="77" t="s">
        <v>26</v>
      </c>
      <c r="B36" s="57" t="s">
        <v>324</v>
      </c>
      <c r="C36" s="152"/>
    </row>
    <row r="37" spans="1:3" ht="13.5" thickBot="1" x14ac:dyDescent="0.25">
      <c r="A37" s="77" t="s">
        <v>27</v>
      </c>
      <c r="B37" s="57" t="s">
        <v>354</v>
      </c>
      <c r="C37" s="169"/>
    </row>
    <row r="38" spans="1:3" ht="13.5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ht="13.5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x14ac:dyDescent="0.2">
      <c r="A40" s="222" t="s">
        <v>357</v>
      </c>
      <c r="B40" s="223" t="s">
        <v>181</v>
      </c>
      <c r="C40" s="1193"/>
    </row>
    <row r="41" spans="1:3" x14ac:dyDescent="0.2">
      <c r="A41" s="222" t="s">
        <v>358</v>
      </c>
      <c r="B41" s="224" t="s">
        <v>9</v>
      </c>
      <c r="C41" s="132"/>
    </row>
    <row r="42" spans="1:3" ht="13.5" thickBot="1" x14ac:dyDescent="0.25">
      <c r="A42" s="221" t="s">
        <v>359</v>
      </c>
      <c r="B42" s="60" t="s">
        <v>360</v>
      </c>
      <c r="C42" s="1195"/>
    </row>
    <row r="43" spans="1:3" ht="13.5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x14ac:dyDescent="0.2">
      <c r="A48" s="221" t="s">
        <v>99</v>
      </c>
      <c r="B48" s="6" t="s">
        <v>51</v>
      </c>
      <c r="C48" s="1198"/>
    </row>
    <row r="49" spans="1:3" x14ac:dyDescent="0.2">
      <c r="A49" s="221" t="s">
        <v>100</v>
      </c>
      <c r="B49" s="5" t="s">
        <v>148</v>
      </c>
      <c r="C49" s="1199"/>
    </row>
    <row r="50" spans="1:3" x14ac:dyDescent="0.2">
      <c r="A50" s="221" t="s">
        <v>101</v>
      </c>
      <c r="B50" s="5" t="s">
        <v>124</v>
      </c>
      <c r="C50" s="676"/>
    </row>
    <row r="51" spans="1:3" x14ac:dyDescent="0.2">
      <c r="A51" s="221" t="s">
        <v>102</v>
      </c>
      <c r="B51" s="5" t="s">
        <v>149</v>
      </c>
      <c r="C51" s="1194"/>
    </row>
    <row r="52" spans="1:3" ht="13.5" thickBot="1" x14ac:dyDescent="0.25">
      <c r="A52" s="221" t="s">
        <v>125</v>
      </c>
      <c r="B52" s="5" t="s">
        <v>150</v>
      </c>
      <c r="C52" s="1194"/>
    </row>
    <row r="53" spans="1:3" ht="13.5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x14ac:dyDescent="0.2">
      <c r="A54" s="221" t="s">
        <v>105</v>
      </c>
      <c r="B54" s="6" t="s">
        <v>172</v>
      </c>
      <c r="C54" s="1198"/>
    </row>
    <row r="55" spans="1:3" x14ac:dyDescent="0.2">
      <c r="A55" s="221" t="s">
        <v>106</v>
      </c>
      <c r="B55" s="5" t="s">
        <v>152</v>
      </c>
      <c r="C55" s="1194"/>
    </row>
    <row r="56" spans="1:3" x14ac:dyDescent="0.2">
      <c r="A56" s="221" t="s">
        <v>107</v>
      </c>
      <c r="B56" s="5" t="s">
        <v>60</v>
      </c>
      <c r="C56" s="1194"/>
    </row>
    <row r="57" spans="1:3" ht="13.5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3.5" thickBot="1" x14ac:dyDescent="0.25">
      <c r="A60" s="101"/>
      <c r="B60" s="1013"/>
      <c r="C60" s="364"/>
    </row>
    <row r="61" spans="1:3" ht="13.5" thickBot="1" x14ac:dyDescent="0.25">
      <c r="A61" s="102" t="s">
        <v>520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31"/>
  <dimension ref="A1:F62"/>
  <sheetViews>
    <sheetView workbookViewId="0">
      <selection activeCell="C17" sqref="C17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664062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CONCATENATE("14. melléklet"," ",ALAPADATOK!A7," ",ALAPADATOK!B7," ",ALAPADATOK!C7," ",ALAPADATOK!D7," ",ALAPADATOK!E7," ",ALAPADATOK!F7," ",ALAPADATOK!G7," ",ALAPADATOK!H7)</f>
        <v>14. melléklet a  / 2020. ( 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553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13528550</v>
      </c>
      <c r="E9" s="575">
        <f>'9.4.1. sz. mell EKIK'!C9+'9.4.2. sz. mell EKIK'!C9</f>
        <v>13528550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11297400</v>
      </c>
      <c r="E11" s="575">
        <f>'9.4.1. sz. mell EKIK'!C11+'9.4.2. sz. mell EKIK'!C11</f>
        <v>11297400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1526150</v>
      </c>
      <c r="E15" s="575">
        <f>'9.4.1. sz. mell EKIK'!C15+'9.4.2. sz. mell EKIK'!C15</f>
        <v>1526150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  <c r="E21" s="575">
        <f>'9.4.1. sz. mell EKIK'!C21+'9.4.2. sz. mell EKIK'!C21</f>
        <v>11386785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1199">
        <f>11259187+127598</f>
        <v>11386785</v>
      </c>
      <c r="E24" s="575">
        <f>'9.4.1. sz. mell EKIK'!C24+'9.4.2. sz. mell EKIK'!C24</f>
        <v>11386785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  <c r="E27" s="575">
        <f>'9.4.1. sz. mell EKIK'!C27+'9.4.2. sz. mell EKIK'!C27</f>
        <v>249830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1199">
        <v>249830</v>
      </c>
      <c r="E30" s="575">
        <f>'9.4.1. sz. mell EKIK'!C30+'9.4.2. sz. mell EKIK'!C30</f>
        <v>249830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25165165</v>
      </c>
      <c r="E38" s="575">
        <f>'9.4.1. sz. mell EKIK'!C38+'9.4.2. sz. mell EKIK'!C38</f>
        <v>25165165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  <c r="E39" s="575">
        <f>'9.4.1. sz. mell EKIK'!C39+'9.4.2. sz. mell EKIK'!C39</f>
        <v>95006787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200">
        <f>93181485+727000+272786+249830-249830+335000</f>
        <v>94516271</v>
      </c>
      <c r="E42" s="575">
        <f>'9.4.1. sz. mell EKIK'!C42+'9.4.2. sz. mell EKIK'!C42</f>
        <v>94516271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120171952</v>
      </c>
      <c r="E43" s="575">
        <f>'9.4.1. sz. mell EKIK'!C43+'9.4.2. sz. mell EKIK'!C43</f>
        <v>120171952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116205369</v>
      </c>
      <c r="E47" s="575">
        <f>'9.4.1. sz. mell EKIK'!C47+'9.4.2. sz. mell EKIK'!C47</f>
        <v>116205369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55350452-294482+294482</f>
        <v>55350452</v>
      </c>
      <c r="E48" s="575">
        <f>'9.4.1. sz. mell EKIK'!C48+'9.4.2. sz. mell EKIK'!C48</f>
        <v>55350452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  <c r="E49" s="575">
        <f>'9.4.1. sz. mell EKIK'!C49+'9.4.2. sz. mell EKIK'!C49</f>
        <v>9898597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50681034+272786</f>
        <v>50953820</v>
      </c>
      <c r="E50" s="575">
        <f>'9.4.1. sz. mell EKIK'!C50+'9.4.2. sz. mell EKIK'!C50</f>
        <v>50953820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  <c r="E53" s="575">
        <f>'9.4.1. sz. mell EKIK'!C53+'9.4.2. sz. mell EKIK'!C53</f>
        <v>3966583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98">
        <f>2527155+727000+127598+249830+335000</f>
        <v>3966583</v>
      </c>
      <c r="E54" s="575">
        <f>'9.4.1. sz. mell EKIK'!C54+'9.4.2. sz. mell EKIK'!C54</f>
        <v>3966583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120171952</v>
      </c>
      <c r="E59" s="575">
        <f>'9.4.1. sz. mell EKIK'!C59+'9.4.2. sz. mell EKIK'!C59</f>
        <v>120171952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506" t="s">
        <v>841</v>
      </c>
      <c r="B62" s="1507"/>
      <c r="C62" s="810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32"/>
  <dimension ref="A1:F62"/>
  <sheetViews>
    <sheetView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CONCATENATE("15. melléklet"," ",ALAPADATOK!A7," ",ALAPADATOK!B7," ",ALAPADATOK!C7," ",ALAPADATOK!D7," ",ALAPADATOK!E7," ",ALAPADATOK!F7," ",ALAPADATOK!G7," ",ALAPADATOK!H7)</f>
        <v>15.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166</v>
      </c>
      <c r="B3" s="162" t="s">
        <v>553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12372850</v>
      </c>
    </row>
    <row r="10" spans="1:3" s="177" customFormat="1" ht="12" customHeight="1" x14ac:dyDescent="0.2">
      <c r="A10" s="220" t="s">
        <v>99</v>
      </c>
      <c r="B10" s="7" t="s">
        <v>222</v>
      </c>
      <c r="C10" s="675">
        <v>20000</v>
      </c>
    </row>
    <row r="11" spans="1:3" s="177" customFormat="1" ht="12" customHeight="1" x14ac:dyDescent="0.2">
      <c r="A11" s="221" t="s">
        <v>100</v>
      </c>
      <c r="B11" s="5" t="s">
        <v>223</v>
      </c>
      <c r="C11" s="676">
        <v>10387400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5000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1280450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680000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1199">
        <f>11259187+127598</f>
        <v>11386785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1199">
        <v>249830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24009465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490516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200">
        <f>93181485+727000+272786+249830-249830+335000</f>
        <v>94516271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119016252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115278119</v>
      </c>
    </row>
    <row r="48" spans="1:3" ht="12" customHeight="1" x14ac:dyDescent="0.2">
      <c r="A48" s="221" t="s">
        <v>99</v>
      </c>
      <c r="B48" s="6" t="s">
        <v>51</v>
      </c>
      <c r="C48" s="1198">
        <f>55350452-294482+294482</f>
        <v>55350452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</row>
    <row r="50" spans="1:6" ht="12" customHeight="1" x14ac:dyDescent="0.2">
      <c r="A50" s="221" t="s">
        <v>101</v>
      </c>
      <c r="B50" s="5" t="s">
        <v>124</v>
      </c>
      <c r="C50" s="676">
        <f>49753784+272786</f>
        <v>50026570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</row>
    <row r="54" spans="1:6" ht="12" customHeight="1" x14ac:dyDescent="0.2">
      <c r="A54" s="221" t="s">
        <v>105</v>
      </c>
      <c r="B54" s="6" t="s">
        <v>172</v>
      </c>
      <c r="C54" s="1198">
        <f>2527155+727000+127598+249830+335000</f>
        <v>3966583</v>
      </c>
    </row>
    <row r="55" spans="1:6" ht="12" customHeight="1" x14ac:dyDescent="0.2">
      <c r="A55" s="221" t="s">
        <v>106</v>
      </c>
      <c r="B55" s="5" t="s">
        <v>152</v>
      </c>
      <c r="C55" s="676"/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119244702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18.75</v>
      </c>
      <c r="E61" s="575"/>
      <c r="F61" s="575"/>
    </row>
    <row r="62" spans="1:6" ht="13.5" thickBot="1" x14ac:dyDescent="0.25">
      <c r="A62" s="1506" t="s">
        <v>841</v>
      </c>
      <c r="B62" s="1507"/>
      <c r="C62" s="810">
        <v>0.38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33"/>
  <dimension ref="A1:C61"/>
  <sheetViews>
    <sheetView workbookViewId="0">
      <selection activeCell="D64" sqref="D64"/>
    </sheetView>
  </sheetViews>
  <sheetFormatPr defaultColWidth="9.33203125"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166</v>
      </c>
      <c r="B3" s="162" t="s">
        <v>553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1155700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>
        <v>910000</v>
      </c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>
        <v>245700</v>
      </c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927250</v>
      </c>
    </row>
    <row r="48" spans="1:3" ht="12" customHeight="1" x14ac:dyDescent="0.2">
      <c r="A48" s="221" t="s">
        <v>99</v>
      </c>
      <c r="B48" s="6" t="s">
        <v>51</v>
      </c>
      <c r="C48" s="682"/>
    </row>
    <row r="49" spans="1:3" ht="12" customHeight="1" x14ac:dyDescent="0.2">
      <c r="A49" s="221" t="s">
        <v>100</v>
      </c>
      <c r="B49" s="5" t="s">
        <v>148</v>
      </c>
      <c r="C49" s="676"/>
    </row>
    <row r="50" spans="1:3" ht="12" customHeight="1" x14ac:dyDescent="0.2">
      <c r="A50" s="221" t="s">
        <v>101</v>
      </c>
      <c r="B50" s="5" t="s">
        <v>124</v>
      </c>
      <c r="C50" s="676">
        <v>927250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s="230" customFormat="1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5" customHeight="1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34"/>
  <dimension ref="A1:F62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CONCATENATE("16. melléklet"," ",ALAPADATOK!A7," ",ALAPADATOK!B7," ",ALAPADATOK!C7," ",ALAPADATOK!D7," ",ALAPADATOK!E7," ",ALAPADATOK!F7," ",ALAPADATOK!G7," ",ALAPADATOK!H7)</f>
        <v>16. melléklet a  / 2020. ( 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421">
        <f>27518165-38100</f>
        <v>27480065</v>
      </c>
      <c r="E11" s="575">
        <f>'9.5.1. sz. mell VK '!C11+'9.5.2. sz. mell VK'!C11</f>
        <v>27480065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1421">
        <f>1547000+30000</f>
        <v>1577000</v>
      </c>
      <c r="E12" s="575">
        <f>'9.5.1. sz. mell VK '!C12+'9.5.2. sz. mell VK'!C12</f>
        <v>1577000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421">
        <f>5641812-1559958+8100</f>
        <v>4089954</v>
      </c>
      <c r="E15" s="575">
        <f>'9.5.1. sz. mell VK '!C15+'9.5.2. sz. mell VK'!C15</f>
        <v>4089954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  <c r="E39" s="575">
        <f>'9.5.1. sz. mell VK '!C39+'9.5.2. sz. mell VK'!C39</f>
        <v>150300163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95">
        <f>164184089-17655357+289865</f>
        <v>146818597</v>
      </c>
      <c r="E42" s="575">
        <f>'9.5.1. sz. mell VK '!C42+'9.5.2. sz. mell VK'!C42</f>
        <v>146818597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  <c r="E43" s="575">
        <f>'9.5.1. sz. mell VK '!C43+'9.5.2. sz. mell VK'!C43</f>
        <v>215128619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213028619</v>
      </c>
      <c r="E47" s="575">
        <f>'9.5.1. sz. mell VK '!C47+'9.5.2. sz. mell VK'!C47</f>
        <v>213028619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420">
        <v>69090783</v>
      </c>
      <c r="E48" s="575">
        <f>'9.5.1. sz. mell VK '!C48+'9.5.2. sz. mell VK'!C48</f>
        <v>69090783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v>12885750</v>
      </c>
      <c r="E49" s="575">
        <f>'9.5.1. sz. mell VK '!C49+'9.5.2. sz. mell VK'!C49</f>
        <v>12885750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421">
        <f>155755158-24992937+289865</f>
        <v>131052086</v>
      </c>
      <c r="E50" s="575">
        <f>'9.5.1. sz. mell VK '!C50+'9.5.2. sz. mell VK'!C50</f>
        <v>131052086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  <c r="E53" s="575">
        <f>'9.5.1. sz. mell VK '!C53+'9.5.2. sz. mell VK'!C53</f>
        <v>2100000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  <c r="E54" s="575">
        <f>'9.5.1. sz. mell VK '!C54+'9.5.2. sz. mell VK'!C54</f>
        <v>1500000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  <c r="E55" s="575">
        <f>'9.5.1. sz. mell VK '!C55+'9.5.2. sz. mell VK'!C55</f>
        <v>600000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  <c r="E59" s="575">
        <f>'9.5.1. sz. mell VK '!C59+'9.5.2. sz. mell VK'!C59</f>
        <v>215128619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506" t="s">
        <v>836</v>
      </c>
      <c r="B62" s="1507"/>
      <c r="C62" s="810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35"/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CONCATENATE("17. melléklet"," ",ALAPADATOK!A7," ",ALAPADATOK!B7," ",ALAPADATOK!C7," ",ALAPADATOK!D7," ",ALAPADATOK!E7," ",ALAPADATOK!F7," ",ALAPADATOK!G7," ",ALAPADATOK!H7)</f>
        <v>17.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535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99">
        <f>27518165-38100</f>
        <v>27480065</v>
      </c>
    </row>
    <row r="12" spans="1:3" s="177" customFormat="1" ht="12" customHeight="1" x14ac:dyDescent="0.2">
      <c r="A12" s="221" t="s">
        <v>101</v>
      </c>
      <c r="B12" s="5" t="s">
        <v>224</v>
      </c>
      <c r="C12" s="1199">
        <f>1547000+30000</f>
        <v>1577000</v>
      </c>
    </row>
    <row r="13" spans="1:3" s="177" customFormat="1" ht="12" customHeight="1" x14ac:dyDescent="0.2">
      <c r="A13" s="221" t="s">
        <v>102</v>
      </c>
      <c r="B13" s="5" t="s">
        <v>225</v>
      </c>
      <c r="C13" s="680"/>
    </row>
    <row r="14" spans="1:3" s="177" customFormat="1" ht="12" customHeight="1" x14ac:dyDescent="0.2">
      <c r="A14" s="221" t="s">
        <v>125</v>
      </c>
      <c r="B14" s="5" t="s">
        <v>226</v>
      </c>
      <c r="C14" s="676">
        <f>20383499-5777622</f>
        <v>14605877</v>
      </c>
    </row>
    <row r="15" spans="1:3" s="177" customFormat="1" ht="12" customHeight="1" x14ac:dyDescent="0.2">
      <c r="A15" s="221" t="s">
        <v>103</v>
      </c>
      <c r="B15" s="5" t="s">
        <v>347</v>
      </c>
      <c r="C15" s="1199">
        <f>5641812-1559958+8100</f>
        <v>4089954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7729000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v>9346560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3481566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164184089-17655357+289865</f>
        <v>146818597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213028619</v>
      </c>
    </row>
    <row r="48" spans="1:3" ht="12" customHeight="1" x14ac:dyDescent="0.2">
      <c r="A48" s="221" t="s">
        <v>99</v>
      </c>
      <c r="B48" s="6" t="s">
        <v>51</v>
      </c>
      <c r="C48" s="1198">
        <f>69090783-195524+195524-47000+47000-182500+182500</f>
        <v>69090783</v>
      </c>
    </row>
    <row r="49" spans="1:6" ht="12" customHeight="1" x14ac:dyDescent="0.2">
      <c r="A49" s="221" t="s">
        <v>100</v>
      </c>
      <c r="B49" s="5" t="s">
        <v>148</v>
      </c>
      <c r="C49" s="676">
        <v>12885750</v>
      </c>
    </row>
    <row r="50" spans="1:6" ht="12" customHeight="1" x14ac:dyDescent="0.2">
      <c r="A50" s="221" t="s">
        <v>101</v>
      </c>
      <c r="B50" s="5" t="s">
        <v>124</v>
      </c>
      <c r="C50" s="1199">
        <f>155755158-24992937+289865</f>
        <v>131052086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/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21.67</v>
      </c>
      <c r="E61" s="575"/>
      <c r="F61" s="575"/>
    </row>
    <row r="62" spans="1:6" ht="13.5" thickBot="1" x14ac:dyDescent="0.25">
      <c r="A62" s="1506" t="s">
        <v>835</v>
      </c>
      <c r="B62" s="1507"/>
      <c r="C62" s="810">
        <v>0.83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36"/>
  <dimension ref="A1:C61"/>
  <sheetViews>
    <sheetView topLeftCell="A52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535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/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/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8"/>
    </row>
    <row r="49" spans="1:3" ht="12" customHeight="1" x14ac:dyDescent="0.2">
      <c r="A49" s="221" t="s">
        <v>100</v>
      </c>
      <c r="B49" s="5" t="s">
        <v>148</v>
      </c>
      <c r="C49" s="1199"/>
    </row>
    <row r="50" spans="1:3" ht="12" customHeight="1" x14ac:dyDescent="0.2">
      <c r="A50" s="221" t="s">
        <v>101</v>
      </c>
      <c r="B50" s="5" t="s">
        <v>124</v>
      </c>
      <c r="C50" s="1199"/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s="230" customFormat="1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5" customHeight="1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37"/>
  <dimension ref="A1:F65"/>
  <sheetViews>
    <sheetView workbookViewId="0">
      <selection activeCell="B7" sqref="B7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CONCATENATE("18. melléklet"," ",ALAPADATOK!A7," ",ALAPADATOK!B7," ",ALAPADATOK!C7," ",ALAPADATOK!D7," ",ALAPADATOK!E7," ",ALAPADATOK!F7," ",ALAPADATOK!G7," ",ALAPADATOK!H7)</f>
        <v>18. melléklet a  / 2020. ( 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.75" customHeight="1" x14ac:dyDescent="0.2">
      <c r="A3" s="183" t="s">
        <v>166</v>
      </c>
      <c r="B3" s="162" t="s">
        <v>545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1199">
        <f>173575135-200000</f>
        <v>173375135</v>
      </c>
      <c r="E14" s="575">
        <f>'9.6.1. sz. mell Kornisné Kp. '!C14+'9.6.2. sz. mell Kornisné Kp.'!C14+'9.6.3. sz. mell Kornisné Kp '!C14</f>
        <v>173375135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1422">
        <v>200000</v>
      </c>
      <c r="E20" s="575">
        <f>'9.6.1. sz. mell Kornisné Kp. '!C20+'9.6.2. sz. mell Kornisné Kp.'!C20+'9.6.3. sz. mell Kornisné Kp '!C20</f>
        <v>200000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1196">
        <f>SUM(C22:C24)</f>
        <v>93723004</v>
      </c>
      <c r="E21" s="575">
        <f>'9.6.1. sz. mell Kornisné Kp. '!C21+'9.6.2. sz. mell Kornisné Kp.'!C21+'9.6.3. sz. mell Kornisné Kp '!C21</f>
        <v>93723004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76">
        <f>86729523+685800+1240576+5067105</f>
        <v>93723004</v>
      </c>
      <c r="E24" s="575">
        <f>'9.6.1. sz. mell Kornisné Kp. '!C24+'9.6.2. sz. mell Kornisné Kp.'!C24+'9.6.3. sz. mell Kornisné Kp '!C24</f>
        <v>93723004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1370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'9.6.1. sz. mell Kornisné Kp. '!C37+'9.6.2. sz. mell Kornisné Kp.'!C37+'9.6.3. sz. mell Kornisné Kp 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306100399</v>
      </c>
      <c r="E38" s="575">
        <f>'9.6.1. sz. mell Kornisné Kp. '!C38+'9.6.2. sz. mell Kornisné Kp.'!C38+'9.6.3. sz. mell Kornisné Kp '!C38</f>
        <v>306100399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SUM(C40:C42)</f>
        <v>629982021</v>
      </c>
      <c r="E39" s="575">
        <f>'9.6.1. sz. mell Kornisné Kp. '!C39+'9.6.2. sz. mell Kornisné Kp.'!C39+'9.6.3. sz. mell Kornisné Kp '!C39</f>
        <v>629982021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574454744+32575861+800100-4560+1021131+608490</f>
        <v>609455766</v>
      </c>
      <c r="E42" s="575">
        <f>'9.6.1. sz. mell Kornisné Kp. '!C42+'9.6.2. sz. mell Kornisné Kp.'!C42+'9.6.3. sz. mell Kornisné Kp '!C42</f>
        <v>609455766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5">
        <f>+C38+C39</f>
        <v>936082420</v>
      </c>
      <c r="E43" s="575">
        <f>'9.6.1. sz. mell Kornisné Kp. '!C43+'9.6.2. sz. mell Kornisné Kp.'!C43+'9.6.3. sz. mell Kornisné Kp '!C43</f>
        <v>936082420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917957369</v>
      </c>
      <c r="E47" s="575">
        <f>'9.6.1. sz. mell Kornisné Kp. '!C47+'9.6.2. sz. mell Kornisné Kp.'!C47+'9.6.3. sz. mell Kornisné Kp '!C47</f>
        <v>917957369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559242888+27724136+718045-127557+127557-200000+200000-200089+200089+1062000+522711+1757506</f>
        <v>591027286</v>
      </c>
      <c r="E48" s="575">
        <f>'9.6.1. sz. mell Kornisné Kp. '!C48+'9.6.2. sz. mell Kornisné Kp.'!C48+'9.6.3. sz. mell Kornisné Kp '!C48</f>
        <v>591027286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105298280+4851725+176957+178576+85779-736971</f>
        <v>109854346</v>
      </c>
      <c r="E49" s="575">
        <f>'9.6.1. sz. mell Kornisné Kp. '!C49+'9.6.2. sz. mell Kornisné Kp.'!C49+'9.6.3. sz. mell Kornisné Kp '!C49</f>
        <v>109854346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9">
        <f>211087063-209202+800100+330075+1021131+4046570</f>
        <v>217075737</v>
      </c>
      <c r="E50" s="575">
        <f>'9.6.1. sz. mell Kornisné Kp. '!C50+'9.6.2. sz. mell Kornisné Kp.'!C50+'9.6.3. sz. mell Kornisné Kp '!C50</f>
        <v>217075737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18125051</v>
      </c>
      <c r="E53" s="575">
        <f>'9.6.1. sz. mell Kornisné Kp. '!C53+'9.6.2. sz. mell Kornisné Kp.'!C53+'9.6.3. sz. mell Kornisné Kp '!C53</f>
        <v>18125051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f>18023451+101600</f>
        <v>18125051</v>
      </c>
      <c r="E54" s="575">
        <f>'9.6.1. sz. mell Kornisné Kp. '!C54+'9.6.2. sz. mell Kornisné Kp.'!C54+'9.6.3. sz. mell Kornisné Kp '!C54</f>
        <v>18125051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936082420</v>
      </c>
      <c r="E59" s="575">
        <f>'9.6.1. sz. mell Kornisné Kp. '!C59+'9.6.2. sz. mell Kornisné Kp.'!C59+'9.6.3. sz. mell Kornisné Kp '!C59</f>
        <v>936082420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5" t="s">
        <v>844</v>
      </c>
      <c r="B62" s="704"/>
      <c r="C62" s="706">
        <v>8</v>
      </c>
      <c r="E62" s="575"/>
      <c r="F62" s="575"/>
    </row>
    <row r="63" spans="1:6" s="381" customFormat="1" ht="13.9" customHeight="1" thickBot="1" x14ac:dyDescent="0.25">
      <c r="A63" s="1508" t="s">
        <v>593</v>
      </c>
      <c r="B63" s="1509"/>
      <c r="C63" s="707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510" t="s">
        <v>592</v>
      </c>
      <c r="B64" s="1511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512" t="s">
        <v>685</v>
      </c>
      <c r="B65" s="1513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38"/>
  <dimension ref="A1:C61"/>
  <sheetViews>
    <sheetView topLeftCell="A67" zoomScale="130" zoomScaleNormal="130" workbookViewId="0">
      <selection activeCell="J51" sqref="J5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CONCATENATE("19. melléklet"," ",ALAPADATOK!A7," ",ALAPADATOK!B7," ",ALAPADATOK!C7," ",ALAPADATOK!D7," ",ALAPADATOK!E7," ",ALAPADATOK!F7," ",ALAPADATOK!G7," ",ALAPADATOK!H7)</f>
        <v>19.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9637776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7588800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2048976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1370">
        <v>330075</v>
      </c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184569446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f>16297751+4560</f>
        <v>16302311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193902529</v>
      </c>
    </row>
    <row r="48" spans="1:3" ht="12" customHeight="1" x14ac:dyDescent="0.2">
      <c r="A48" s="221" t="s">
        <v>99</v>
      </c>
      <c r="B48" s="6" t="s">
        <v>51</v>
      </c>
      <c r="C48" s="682">
        <f>136029710+9577120+5614+5491-200000+200000</f>
        <v>145617935</v>
      </c>
    </row>
    <row r="49" spans="1:3" ht="12" customHeight="1" x14ac:dyDescent="0.2">
      <c r="A49" s="221" t="s">
        <v>100</v>
      </c>
      <c r="B49" s="5" t="s">
        <v>148</v>
      </c>
      <c r="C49" s="676">
        <f>24987418+1675997+982+960</f>
        <v>26665357</v>
      </c>
    </row>
    <row r="50" spans="1:3" ht="12" customHeight="1" x14ac:dyDescent="0.2">
      <c r="A50" s="221" t="s">
        <v>101</v>
      </c>
      <c r="B50" s="5" t="s">
        <v>124</v>
      </c>
      <c r="C50" s="676">
        <f>21289162+330075</f>
        <v>21619237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634768</v>
      </c>
    </row>
    <row r="54" spans="1:3" ht="12" customHeight="1" x14ac:dyDescent="0.2">
      <c r="A54" s="221" t="s">
        <v>105</v>
      </c>
      <c r="B54" s="6" t="s">
        <v>172</v>
      </c>
      <c r="C54" s="682">
        <v>634768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6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K170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9" customFormat="1" x14ac:dyDescent="0.25">
      <c r="A1" s="1455" t="str">
        <f>CONCATENATE("3. melléklet"," ",ALAPADATOK!A7," ",ALAPADATOK!B7," ",ALAPADATOK!C7," ",ALAPADATOK!D7," ",ALAPADATOK!E7," ",ALAPADATOK!F7," ",ALAPADATOK!G7," ",ALAPADATOK!H7)</f>
        <v>3. melléklet a  / 2020. (  ) önkormányzati rendelethez</v>
      </c>
      <c r="B1" s="1455"/>
      <c r="C1" s="1455"/>
    </row>
    <row r="2" spans="1:6" s="1078" customFormat="1" x14ac:dyDescent="0.25">
      <c r="A2" s="904"/>
      <c r="B2" s="904"/>
      <c r="C2" s="904"/>
    </row>
    <row r="3" spans="1:6" s="849" customFormat="1" x14ac:dyDescent="0.25">
      <c r="A3" s="1453" t="str">
        <f>CONCATENATE(ALAPADATOK!A3)</f>
        <v>Tiszavasvári Város Önkormányzat</v>
      </c>
      <c r="B3" s="1453"/>
      <c r="C3" s="1453"/>
    </row>
    <row r="4" spans="1:6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6" s="849" customFormat="1" x14ac:dyDescent="0.25">
      <c r="A5" s="1454" t="s">
        <v>892</v>
      </c>
      <c r="B5" s="1454"/>
      <c r="C5" s="1454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7" t="s">
        <v>18</v>
      </c>
      <c r="B7" s="1457"/>
      <c r="C7" s="1457"/>
      <c r="D7" s="179"/>
      <c r="E7" s="179"/>
      <c r="F7" s="179"/>
    </row>
    <row r="8" spans="1:6" ht="15.95" customHeight="1" thickBot="1" x14ac:dyDescent="0.3">
      <c r="A8" s="1459"/>
      <c r="B8" s="1459"/>
      <c r="C8" s="126" t="s">
        <v>554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100</v>
      </c>
      <c r="B13" s="194" t="s">
        <v>196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101</v>
      </c>
      <c r="B14" s="194" t="s">
        <v>998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996</v>
      </c>
      <c r="B15" s="194" t="s">
        <v>999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997</v>
      </c>
      <c r="B16" s="194" t="s">
        <v>1000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102</v>
      </c>
      <c r="B17" s="194" t="s">
        <v>198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125</v>
      </c>
      <c r="B18" s="113" t="s">
        <v>449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199</v>
      </c>
      <c r="C20" s="117">
        <f t="shared" si="0"/>
        <v>210621789</v>
      </c>
      <c r="D20" s="282">
        <f>+D21+D22+D23+D24+D25</f>
        <v>123206466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109</v>
      </c>
      <c r="B25" s="194" t="s">
        <v>202</v>
      </c>
      <c r="C25" s="305">
        <f t="shared" si="0"/>
        <v>210621789</v>
      </c>
      <c r="D25" s="267">
        <f>113272668+4308828+557865+5067105</f>
        <v>123206466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118</v>
      </c>
      <c r="B26" s="114" t="s">
        <v>203</v>
      </c>
      <c r="C26" s="1185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204</v>
      </c>
      <c r="C27" s="117">
        <f t="shared" si="0"/>
        <v>16013800</v>
      </c>
      <c r="D27" s="282">
        <f>+D28+D29+D30+D31+D32</f>
        <v>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88</v>
      </c>
      <c r="B28" s="193" t="s">
        <v>205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136</v>
      </c>
      <c r="B32" s="194" t="s">
        <v>207</v>
      </c>
      <c r="C32" s="305">
        <f t="shared" si="0"/>
        <v>16013800</v>
      </c>
      <c r="D32" s="267">
        <f>5200000+101600</f>
        <v>5301600</v>
      </c>
      <c r="E32" s="121"/>
      <c r="F32" s="121">
        <f>10712200</f>
        <v>10712200</v>
      </c>
    </row>
    <row r="33" spans="1:11" s="192" customFormat="1" ht="12" customHeight="1" thickBot="1" x14ac:dyDescent="0.25">
      <c r="A33" s="13" t="s">
        <v>137</v>
      </c>
      <c r="B33" s="195" t="s">
        <v>208</v>
      </c>
      <c r="C33" s="1185">
        <f t="shared" si="0"/>
        <v>1193800</v>
      </c>
      <c r="D33" s="271">
        <v>101600</v>
      </c>
      <c r="E33" s="182"/>
      <c r="F33" s="182">
        <f>1092200</f>
        <v>1092200</v>
      </c>
    </row>
    <row r="34" spans="1:11" s="192" customFormat="1" ht="12" customHeight="1" thickBot="1" x14ac:dyDescent="0.25">
      <c r="A34" s="17" t="s">
        <v>138</v>
      </c>
      <c r="B34" s="18" t="s">
        <v>655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  <c r="K34" s="1427"/>
    </row>
    <row r="35" spans="1:11" s="192" customFormat="1" ht="12" customHeight="1" x14ac:dyDescent="0.2">
      <c r="A35" s="12" t="s">
        <v>210</v>
      </c>
      <c r="B35" s="193" t="s">
        <v>651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11" s="192" customFormat="1" ht="12" customHeight="1" x14ac:dyDescent="0.2">
      <c r="A36" s="11" t="s">
        <v>211</v>
      </c>
      <c r="B36" s="194" t="s">
        <v>216</v>
      </c>
      <c r="C36" s="308">
        <f t="shared" si="0"/>
        <v>0</v>
      </c>
      <c r="D36" s="106"/>
      <c r="E36" s="118"/>
      <c r="F36" s="118"/>
    </row>
    <row r="37" spans="1:11" s="192" customFormat="1" ht="12" customHeight="1" x14ac:dyDescent="0.2">
      <c r="A37" s="11" t="s">
        <v>212</v>
      </c>
      <c r="B37" s="251" t="s">
        <v>650</v>
      </c>
      <c r="C37" s="308">
        <f t="shared" si="0"/>
        <v>0</v>
      </c>
      <c r="D37" s="106"/>
      <c r="E37" s="118"/>
      <c r="F37" s="118"/>
    </row>
    <row r="38" spans="1:11" s="192" customFormat="1" ht="12" customHeight="1" x14ac:dyDescent="0.2">
      <c r="A38" s="11" t="s">
        <v>213</v>
      </c>
      <c r="B38" s="194" t="s">
        <v>537</v>
      </c>
      <c r="C38" s="308">
        <f t="shared" si="0"/>
        <v>0</v>
      </c>
      <c r="D38" s="106"/>
      <c r="E38" s="121"/>
      <c r="F38" s="118"/>
    </row>
    <row r="39" spans="1:11" s="192" customFormat="1" ht="12" customHeight="1" x14ac:dyDescent="0.2">
      <c r="A39" s="11" t="s">
        <v>538</v>
      </c>
      <c r="B39" s="194" t="s">
        <v>217</v>
      </c>
      <c r="C39" s="308">
        <f t="shared" si="0"/>
        <v>0</v>
      </c>
      <c r="D39" s="106"/>
      <c r="E39" s="118"/>
      <c r="F39" s="118"/>
    </row>
    <row r="40" spans="1:11" s="192" customFormat="1" ht="12" customHeight="1" x14ac:dyDescent="0.2">
      <c r="A40" s="11" t="s">
        <v>215</v>
      </c>
      <c r="B40" s="194" t="s">
        <v>218</v>
      </c>
      <c r="C40" s="308">
        <f t="shared" si="0"/>
        <v>0</v>
      </c>
      <c r="D40" s="106"/>
      <c r="E40" s="118"/>
      <c r="F40" s="118"/>
    </row>
    <row r="41" spans="1:11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0</v>
      </c>
      <c r="D41" s="107"/>
      <c r="E41" s="182"/>
      <c r="F41" s="120"/>
    </row>
    <row r="42" spans="1:11" s="192" customFormat="1" ht="12" customHeight="1" thickBot="1" x14ac:dyDescent="0.25">
      <c r="A42" s="17" t="s">
        <v>25</v>
      </c>
      <c r="B42" s="18" t="s">
        <v>451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11" s="192" customFormat="1" ht="12" customHeight="1" x14ac:dyDescent="0.2">
      <c r="A43" s="12" t="s">
        <v>92</v>
      </c>
      <c r="B43" s="193" t="s">
        <v>222</v>
      </c>
      <c r="C43" s="188">
        <f t="shared" si="0"/>
        <v>0</v>
      </c>
      <c r="D43" s="284"/>
      <c r="E43" s="231"/>
      <c r="F43" s="119"/>
    </row>
    <row r="44" spans="1:11" s="192" customFormat="1" ht="12" customHeight="1" x14ac:dyDescent="0.2">
      <c r="A44" s="11" t="s">
        <v>93</v>
      </c>
      <c r="B44" s="194" t="s">
        <v>223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11" s="192" customFormat="1" ht="12" customHeight="1" x14ac:dyDescent="0.2">
      <c r="A45" s="11" t="s">
        <v>94</v>
      </c>
      <c r="B45" s="194" t="s">
        <v>224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11" s="192" customFormat="1" ht="12" customHeight="1" x14ac:dyDescent="0.2">
      <c r="A46" s="11" t="s">
        <v>140</v>
      </c>
      <c r="B46" s="194" t="s">
        <v>225</v>
      </c>
      <c r="C46" s="308">
        <f t="shared" si="0"/>
        <v>0</v>
      </c>
      <c r="D46" s="106"/>
      <c r="E46" s="121"/>
      <c r="F46" s="119"/>
    </row>
    <row r="47" spans="1:11" s="192" customFormat="1" ht="12" customHeight="1" x14ac:dyDescent="0.2">
      <c r="A47" s="11" t="s">
        <v>141</v>
      </c>
      <c r="B47" s="194" t="s">
        <v>226</v>
      </c>
      <c r="C47" s="1140">
        <f t="shared" si="0"/>
        <v>173375135</v>
      </c>
      <c r="D47" s="106">
        <v>-200000</v>
      </c>
      <c r="E47" s="121"/>
      <c r="F47" s="119">
        <f>173575135</f>
        <v>173575135</v>
      </c>
    </row>
    <row r="48" spans="1:11" s="192" customFormat="1" ht="12" customHeight="1" x14ac:dyDescent="0.2">
      <c r="A48" s="11" t="s">
        <v>142</v>
      </c>
      <c r="B48" s="194" t="s">
        <v>227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144</v>
      </c>
      <c r="B50" s="194" t="s">
        <v>543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453</v>
      </c>
      <c r="B53" s="114" t="s">
        <v>231</v>
      </c>
      <c r="C53" s="1375">
        <f t="shared" si="0"/>
        <v>200000</v>
      </c>
      <c r="D53" s="271">
        <v>200000</v>
      </c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1185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626817434</v>
      </c>
      <c r="D70" s="285">
        <f>+D11+D20+D27+D34+D42+D54+D60+D65</f>
        <v>337209426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288</v>
      </c>
      <c r="B81" s="193" t="s">
        <v>266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117">
        <f t="shared" si="1"/>
        <v>639221206</v>
      </c>
      <c r="D95" s="285">
        <f>+D70+D94</f>
        <v>345389254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8" ht="16.5" customHeight="1" x14ac:dyDescent="0.25">
      <c r="A97" s="1457" t="s">
        <v>49</v>
      </c>
      <c r="B97" s="1457"/>
      <c r="C97" s="1457"/>
    </row>
    <row r="98" spans="1:8" s="202" customFormat="1" ht="16.5" customHeight="1" thickBot="1" x14ac:dyDescent="0.3">
      <c r="A98" s="1458" t="s">
        <v>129</v>
      </c>
      <c r="B98" s="1458"/>
      <c r="C98" s="59" t="s">
        <v>554</v>
      </c>
    </row>
    <row r="99" spans="1:8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8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8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811281506</v>
      </c>
      <c r="D101" s="290">
        <f>+D102+D103+D104+D105+D106+D119</f>
        <v>96555362</v>
      </c>
      <c r="E101" s="116">
        <f>+E102+E103+E104+E105+E106+E119</f>
        <v>0</v>
      </c>
      <c r="F101" s="117">
        <f>F102+F103+F104+F105+F106+F119</f>
        <v>714726144</v>
      </c>
    </row>
    <row r="102" spans="1:8" ht="12" customHeight="1" x14ac:dyDescent="0.25">
      <c r="A102" s="14" t="s">
        <v>99</v>
      </c>
      <c r="B102" s="7" t="s">
        <v>51</v>
      </c>
      <c r="C102" s="304">
        <f t="shared" si="2"/>
        <v>454018302</v>
      </c>
      <c r="D102" s="300">
        <f>8164238+706940-2106730+4001885+483000+1757506</f>
        <v>13006839</v>
      </c>
      <c r="E102" s="275"/>
      <c r="F102" s="275">
        <f>422879901+18131562</f>
        <v>441011463</v>
      </c>
    </row>
    <row r="103" spans="1:8" ht="12" customHeight="1" x14ac:dyDescent="0.25">
      <c r="A103" s="11" t="s">
        <v>100</v>
      </c>
      <c r="B103" s="5" t="s">
        <v>148</v>
      </c>
      <c r="C103" s="305">
        <f t="shared" si="2"/>
        <v>85510756</v>
      </c>
      <c r="D103" s="267">
        <f>2011190+175015+561095+74865-736971</f>
        <v>2085194</v>
      </c>
      <c r="E103" s="121"/>
      <c r="F103" s="121">
        <f>80252538+3173024</f>
        <v>83425562</v>
      </c>
      <c r="H103" s="1076"/>
    </row>
    <row r="104" spans="1:8" ht="12" customHeight="1" x14ac:dyDescent="0.25">
      <c r="A104" s="11" t="s">
        <v>101</v>
      </c>
      <c r="B104" s="5" t="s">
        <v>124</v>
      </c>
      <c r="C104" s="305">
        <f t="shared" si="2"/>
        <v>261145289</v>
      </c>
      <c r="D104" s="271">
        <f>62807314+665937+2106730+488+1197131+32000+4046570</f>
        <v>70856170</v>
      </c>
      <c r="E104" s="182"/>
      <c r="F104" s="121">
        <f>189361869+927250</f>
        <v>190289119</v>
      </c>
    </row>
    <row r="105" spans="1:8" ht="12" customHeight="1" x14ac:dyDescent="0.25">
      <c r="A105" s="11" t="s">
        <v>102</v>
      </c>
      <c r="B105" s="5" t="s">
        <v>149</v>
      </c>
      <c r="C105" s="308">
        <f t="shared" si="2"/>
        <v>0</v>
      </c>
      <c r="D105" s="271"/>
      <c r="E105" s="182"/>
      <c r="F105" s="121"/>
    </row>
    <row r="106" spans="1:8" ht="12" customHeight="1" x14ac:dyDescent="0.25">
      <c r="A106" s="11" t="s">
        <v>113</v>
      </c>
      <c r="B106" s="4" t="s">
        <v>150</v>
      </c>
      <c r="C106" s="308">
        <f t="shared" si="2"/>
        <v>10607159</v>
      </c>
      <c r="D106" s="271">
        <f>SUM(D107:D118)</f>
        <v>10607159</v>
      </c>
      <c r="E106" s="271">
        <f>SUM(E107:E118)</f>
        <v>0</v>
      </c>
      <c r="F106" s="271">
        <f>SUM(F107:F118)</f>
        <v>0</v>
      </c>
    </row>
    <row r="107" spans="1:8" ht="12" customHeight="1" x14ac:dyDescent="0.25">
      <c r="A107" s="11" t="s">
        <v>103</v>
      </c>
      <c r="B107" s="5" t="s">
        <v>460</v>
      </c>
      <c r="C107" s="308">
        <f t="shared" si="2"/>
        <v>0</v>
      </c>
      <c r="D107" s="271"/>
      <c r="E107" s="182"/>
      <c r="F107" s="182"/>
    </row>
    <row r="108" spans="1:8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8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8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8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8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5">
        <f t="shared" si="2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466</v>
      </c>
      <c r="B120" s="5" t="s">
        <v>467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468</v>
      </c>
      <c r="B121" s="256" t="s">
        <v>469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34275491</v>
      </c>
      <c r="D122" s="282">
        <f>+D123+D125+D127</f>
        <v>16886808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105</v>
      </c>
      <c r="B123" s="5" t="s">
        <v>172</v>
      </c>
      <c r="C123" s="304">
        <f t="shared" si="2"/>
        <v>34275491</v>
      </c>
      <c r="D123" s="286">
        <f>5410804+580+6000000+174312-488+5200000+101600</f>
        <v>16886808</v>
      </c>
      <c r="E123" s="231"/>
      <c r="F123" s="231">
        <f>17388683</f>
        <v>17388683</v>
      </c>
    </row>
    <row r="124" spans="1:6" ht="12" customHeight="1" x14ac:dyDescent="0.25">
      <c r="A124" s="12" t="s">
        <v>106</v>
      </c>
      <c r="B124" s="9" t="s">
        <v>312</v>
      </c>
      <c r="C124" s="305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107</v>
      </c>
      <c r="B125" s="9" t="s">
        <v>152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108</v>
      </c>
      <c r="B126" s="9" t="s">
        <v>313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109</v>
      </c>
      <c r="B127" s="114" t="s">
        <v>174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120</v>
      </c>
      <c r="B129" s="189" t="s">
        <v>318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153</v>
      </c>
      <c r="B130" s="62" t="s">
        <v>301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154</v>
      </c>
      <c r="B131" s="62" t="s">
        <v>317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155</v>
      </c>
      <c r="B132" s="62" t="s">
        <v>316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309</v>
      </c>
      <c r="B133" s="62" t="s">
        <v>304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310</v>
      </c>
      <c r="B134" s="62" t="s">
        <v>315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311</v>
      </c>
      <c r="B135" s="62" t="s">
        <v>314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845556997</v>
      </c>
      <c r="D136" s="282">
        <f>+D101+D122</f>
        <v>113442170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471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849031587</v>
      </c>
      <c r="D162" s="293">
        <f>+D136+D161</f>
        <v>116916760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54" t="s">
        <v>321</v>
      </c>
      <c r="B164" s="1454"/>
      <c r="C164" s="1454"/>
    </row>
    <row r="165" spans="1:9" ht="15" customHeight="1" thickBot="1" x14ac:dyDescent="0.3">
      <c r="A165" s="1456" t="s">
        <v>130</v>
      </c>
      <c r="B165" s="1456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992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39"/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5" width="10.83203125" style="1013" bestFit="1" customWidth="1"/>
    <col min="6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CONCATENATE("19. melléklet"," ",ALAPADATOK!A7," ",ALAPADATOK!B7," ",ALAPADATOK!C7," ",ALAPADATOK!D7," ",ALAPADATOK!E7," ",ALAPADATOK!F7," ",ALAPADATOK!G7," ",ALAPADATOK!H7)</f>
        <v>19.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190324785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2278000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12700000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1199">
        <f>173575135-200000</f>
        <v>173375135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v>1771650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1422">
        <v>200000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93723004</v>
      </c>
    </row>
    <row r="22" spans="1:3" s="229" customFormat="1" ht="12" customHeight="1" x14ac:dyDescent="0.2">
      <c r="A22" s="221" t="s">
        <v>105</v>
      </c>
      <c r="B22" s="6" t="s">
        <v>200</v>
      </c>
      <c r="C22" s="1194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676">
        <f>86729523+685800+1240576+5067105</f>
        <v>93723004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294861589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445412575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4223944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740274164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1">
        <f>SUM(C48:C52)</f>
        <v>723209049</v>
      </c>
    </row>
    <row r="48" spans="1:3" ht="12" customHeight="1" x14ac:dyDescent="0.2">
      <c r="A48" s="221" t="s">
        <v>99</v>
      </c>
      <c r="B48" s="6" t="s">
        <v>51</v>
      </c>
      <c r="C48" s="1198">
        <f>422879901+18131562+540000+76942+89998-127557+127557+522711+1062000+1757506</f>
        <v>445060620</v>
      </c>
    </row>
    <row r="49" spans="1:5" ht="12" customHeight="1" x14ac:dyDescent="0.2">
      <c r="A49" s="221" t="s">
        <v>100</v>
      </c>
      <c r="B49" s="5" t="s">
        <v>148</v>
      </c>
      <c r="C49" s="676">
        <f>80252538+3173024+145800+13465+15750+85779+178576-736971</f>
        <v>83127961</v>
      </c>
    </row>
    <row r="50" spans="1:5" ht="12" customHeight="1" x14ac:dyDescent="0.2">
      <c r="A50" s="221" t="s">
        <v>101</v>
      </c>
      <c r="B50" s="5" t="s">
        <v>124</v>
      </c>
      <c r="C50" s="1199">
        <f>189361869-97003-112199+800100+1021131+4046570</f>
        <v>195020468</v>
      </c>
    </row>
    <row r="51" spans="1:5" ht="12" customHeight="1" x14ac:dyDescent="0.2">
      <c r="A51" s="221" t="s">
        <v>102</v>
      </c>
      <c r="B51" s="5" t="s">
        <v>149</v>
      </c>
      <c r="C51" s="676"/>
    </row>
    <row r="52" spans="1:5" ht="12" customHeight="1" thickBot="1" x14ac:dyDescent="0.25">
      <c r="A52" s="221" t="s">
        <v>125</v>
      </c>
      <c r="B52" s="5" t="s">
        <v>150</v>
      </c>
      <c r="C52" s="676"/>
    </row>
    <row r="53" spans="1:5" s="230" customFormat="1" ht="12" customHeight="1" thickBot="1" x14ac:dyDescent="0.25">
      <c r="A53" s="77" t="s">
        <v>22</v>
      </c>
      <c r="B53" s="57" t="s">
        <v>363</v>
      </c>
      <c r="C53" s="674">
        <f>SUM(C54:C56)</f>
        <v>17490283</v>
      </c>
    </row>
    <row r="54" spans="1:5" ht="12" customHeight="1" x14ac:dyDescent="0.2">
      <c r="A54" s="221" t="s">
        <v>105</v>
      </c>
      <c r="B54" s="6" t="s">
        <v>172</v>
      </c>
      <c r="C54" s="682">
        <f>17388683+101600</f>
        <v>17490283</v>
      </c>
    </row>
    <row r="55" spans="1:5" ht="12" customHeight="1" x14ac:dyDescent="0.2">
      <c r="A55" s="221" t="s">
        <v>106</v>
      </c>
      <c r="B55" s="5" t="s">
        <v>152</v>
      </c>
      <c r="C55" s="676"/>
    </row>
    <row r="56" spans="1:5" ht="12" customHeight="1" x14ac:dyDescent="0.2">
      <c r="A56" s="221" t="s">
        <v>107</v>
      </c>
      <c r="B56" s="5" t="s">
        <v>60</v>
      </c>
      <c r="C56" s="676"/>
    </row>
    <row r="57" spans="1:5" ht="15" customHeight="1" thickBot="1" x14ac:dyDescent="0.25">
      <c r="A57" s="221" t="s">
        <v>108</v>
      </c>
      <c r="B57" s="5" t="s">
        <v>526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54"/>
      <c r="E58" s="854"/>
    </row>
    <row r="59" spans="1:5" ht="15" customHeight="1" thickBot="1" x14ac:dyDescent="0.25">
      <c r="A59" s="77" t="s">
        <v>24</v>
      </c>
      <c r="B59" s="100" t="s">
        <v>527</v>
      </c>
      <c r="C59" s="1191">
        <f>+C47+C53+C58</f>
        <v>740699332</v>
      </c>
    </row>
    <row r="60" spans="1:5" ht="14.25" customHeight="1" thickBot="1" x14ac:dyDescent="0.25">
      <c r="C60" s="690"/>
    </row>
    <row r="61" spans="1:5" ht="13.5" thickBot="1" x14ac:dyDescent="0.25">
      <c r="A61" s="102" t="s">
        <v>520</v>
      </c>
      <c r="B61" s="103"/>
      <c r="C61" s="691">
        <v>109</v>
      </c>
    </row>
    <row r="62" spans="1:5" ht="13.5" thickBot="1" x14ac:dyDescent="0.25">
      <c r="A62" s="705" t="s">
        <v>849</v>
      </c>
      <c r="B62" s="704"/>
      <c r="C62" s="706">
        <v>8</v>
      </c>
    </row>
    <row r="63" spans="1:5" s="381" customFormat="1" ht="13.9" customHeight="1" thickBot="1" x14ac:dyDescent="0.25">
      <c r="A63" s="1508" t="s">
        <v>593</v>
      </c>
      <c r="B63" s="1509"/>
      <c r="C63" s="707">
        <v>4</v>
      </c>
    </row>
    <row r="64" spans="1:5" s="381" customFormat="1" ht="13.5" thickBot="1" x14ac:dyDescent="0.25">
      <c r="A64" s="1510" t="s">
        <v>592</v>
      </c>
      <c r="B64" s="1511"/>
      <c r="C64" s="494">
        <v>1.5</v>
      </c>
    </row>
    <row r="65" spans="1:3" ht="13.5" thickBot="1" x14ac:dyDescent="0.25">
      <c r="A65" s="1512" t="s">
        <v>685</v>
      </c>
      <c r="B65" s="1513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0"/>
  <dimension ref="A1:D62"/>
  <sheetViews>
    <sheetView topLeftCell="A46" zoomScale="115" zoomScaleNormal="115" workbookViewId="0">
      <selection activeCell="C59" sqref="C59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617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1270959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1000755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270204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682"/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/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845791</v>
      </c>
    </row>
    <row r="48" spans="1:3" ht="12" customHeight="1" x14ac:dyDescent="0.2">
      <c r="A48" s="221" t="s">
        <v>99</v>
      </c>
      <c r="B48" s="6" t="s">
        <v>51</v>
      </c>
      <c r="C48" s="1193">
        <f>333277+15454</f>
        <v>348731</v>
      </c>
    </row>
    <row r="49" spans="1:4" ht="12" customHeight="1" x14ac:dyDescent="0.2">
      <c r="A49" s="221" t="s">
        <v>100</v>
      </c>
      <c r="B49" s="5" t="s">
        <v>148</v>
      </c>
      <c r="C49" s="1194">
        <f>58324+2704</f>
        <v>61028</v>
      </c>
    </row>
    <row r="50" spans="1:4" ht="12" customHeight="1" x14ac:dyDescent="0.2">
      <c r="A50" s="221" t="s">
        <v>101</v>
      </c>
      <c r="B50" s="5" t="s">
        <v>124</v>
      </c>
      <c r="C50" s="676">
        <v>436032</v>
      </c>
    </row>
    <row r="51" spans="1:4" ht="12" customHeight="1" x14ac:dyDescent="0.2">
      <c r="A51" s="221" t="s">
        <v>102</v>
      </c>
      <c r="B51" s="5" t="s">
        <v>149</v>
      </c>
      <c r="C51" s="676"/>
    </row>
    <row r="52" spans="1:4" ht="12" customHeight="1" thickBot="1" x14ac:dyDescent="0.25">
      <c r="A52" s="221" t="s">
        <v>125</v>
      </c>
      <c r="B52" s="5" t="s">
        <v>150</v>
      </c>
      <c r="C52" s="676"/>
    </row>
    <row r="53" spans="1:4" s="230" customFormat="1" ht="12" customHeight="1" thickBot="1" x14ac:dyDescent="0.25">
      <c r="A53" s="77" t="s">
        <v>22</v>
      </c>
      <c r="B53" s="57" t="s">
        <v>363</v>
      </c>
      <c r="C53" s="674">
        <f>SUM(C54:C56)</f>
        <v>0</v>
      </c>
    </row>
    <row r="54" spans="1:4" ht="12" customHeight="1" x14ac:dyDescent="0.2">
      <c r="A54" s="221" t="s">
        <v>105</v>
      </c>
      <c r="B54" s="6" t="s">
        <v>172</v>
      </c>
      <c r="C54" s="682"/>
    </row>
    <row r="55" spans="1:4" ht="12" customHeight="1" x14ac:dyDescent="0.2">
      <c r="A55" s="221" t="s">
        <v>106</v>
      </c>
      <c r="B55" s="5" t="s">
        <v>152</v>
      </c>
      <c r="C55" s="676"/>
    </row>
    <row r="56" spans="1:4" ht="12" customHeight="1" x14ac:dyDescent="0.2">
      <c r="A56" s="221" t="s">
        <v>107</v>
      </c>
      <c r="B56" s="5" t="s">
        <v>60</v>
      </c>
      <c r="C56" s="676"/>
    </row>
    <row r="57" spans="1:4" ht="15" customHeight="1" thickBot="1" x14ac:dyDescent="0.25">
      <c r="A57" s="221" t="s">
        <v>108</v>
      </c>
      <c r="B57" s="5" t="s">
        <v>526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54"/>
    </row>
    <row r="59" spans="1:4" ht="15" customHeight="1" thickBot="1" x14ac:dyDescent="0.25">
      <c r="A59" s="77" t="s">
        <v>24</v>
      </c>
      <c r="B59" s="100" t="s">
        <v>527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520</v>
      </c>
      <c r="B61" s="103"/>
      <c r="C61" s="691">
        <v>0</v>
      </c>
    </row>
    <row r="62" spans="1:4" ht="13.5" thickBot="1" x14ac:dyDescent="0.25">
      <c r="A62" s="1514"/>
      <c r="B62" s="1515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41"/>
  <dimension ref="A1:F63"/>
  <sheetViews>
    <sheetView zoomScale="130" zoomScaleNormal="130" workbookViewId="0">
      <selection activeCell="B11" sqref="B1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CONCATENATE("20. melléklet"," ",ALAPADATOK!A7," ",ALAPADATOK!B7," ",ALAPADATOK!C7," ",ALAPADATOK!D7," ",ALAPADATOK!E7," ",ALAPADATOK!F7," ",ALAPADATOK!G7," ",ALAPADATOK!H7)</f>
        <v>20. melléklet a  / 2020. ( 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1197">
        <f>+C40+C41+C42</f>
        <v>100877625</v>
      </c>
      <c r="E39" s="575">
        <f>'9.7.1. sz. mell TIB  '!C39+'9.7.2. sz. mell TIB'!C39</f>
        <v>100877625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  <c r="E42" s="575">
        <f>'9.7.1. sz. mell TIB  '!C42+'9.7.2. sz. mell TIB'!C42</f>
        <v>100056944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1197">
        <f>+C38+C39</f>
        <v>102247250</v>
      </c>
      <c r="E43" s="575">
        <f>'9.7.1. sz. mell TIB  '!C43+'9.7.2. sz. mell TIB'!C43</f>
        <v>102247250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1196">
        <f>SUM(C48:C52)</f>
        <v>101636400</v>
      </c>
      <c r="E47" s="575">
        <f>'9.7.1. sz. mell TIB  '!C47+'9.7.2. sz. mell TIB'!C47</f>
        <v>101636400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71236352+545105+826870+977450</f>
        <v>73585777</v>
      </c>
      <c r="E48" s="575">
        <f>'9.7.1. sz. mell TIB  '!C48+'9.7.2. sz. mell TIB'!C48</f>
        <v>73585777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  <c r="E49" s="575">
        <f>'9.7.1. sz. mell TIB  '!C49+'9.7.2. sz. mell TIB'!C49</f>
        <v>13122999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15922544+189000-45500+45500-1183920</f>
        <v>14927624</v>
      </c>
      <c r="E50" s="575">
        <f>'9.7.1. sz. mell TIB  '!C50+'9.7.2. sz. mell TIB'!C50</f>
        <v>14927624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  <c r="E53" s="575">
        <f>'9.7.1. sz. mell TIB  '!C53+'9.7.2. sz. mell TIB'!C53</f>
        <v>610850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610850</v>
      </c>
      <c r="E54" s="575">
        <f>'9.7.1. sz. mell TIB  '!C54+'9.7.2. sz. mell TIB'!C54</f>
        <v>610850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1196">
        <f>+C47+C53+C58</f>
        <v>102247250</v>
      </c>
      <c r="E59" s="575">
        <f>'9.7.1. sz. mell TIB  '!C59+'9.7.2. sz. mell TIB'!C59</f>
        <v>102247250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42"/>
  <dimension ref="A1:C61"/>
  <sheetViews>
    <sheetView zoomScale="145" zoomScaleNormal="145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CONCATENATE("21. melléklet"," ",ALAPADATOK!A7," ",ALAPADATOK!B7," ",ALAPADATOK!C7," ",ALAPADATOK!D7," ",ALAPADATOK!E7," ",ALAPADATOK!F7," ",ALAPADATOK!G7," ",ALAPADATOK!H7)</f>
        <v>21. melléklet a  / 2020. ( 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166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/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</row>
    <row r="15" spans="1:3" s="177" customFormat="1" ht="12" customHeight="1" x14ac:dyDescent="0.2">
      <c r="A15" s="221" t="s">
        <v>103</v>
      </c>
      <c r="B15" s="5" t="s">
        <v>347</v>
      </c>
      <c r="C15" s="676"/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>
        <v>358859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100877625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820681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102247250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101636400</v>
      </c>
    </row>
    <row r="48" spans="1:3" ht="12" customHeight="1" x14ac:dyDescent="0.2">
      <c r="A48" s="221" t="s">
        <v>99</v>
      </c>
      <c r="B48" s="6" t="s">
        <v>51</v>
      </c>
      <c r="C48" s="1198">
        <f>71236352+545105+826870+977450</f>
        <v>73585777</v>
      </c>
    </row>
    <row r="49" spans="1:3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</row>
    <row r="50" spans="1:3" ht="12" customHeight="1" x14ac:dyDescent="0.2">
      <c r="A50" s="221" t="s">
        <v>101</v>
      </c>
      <c r="B50" s="5" t="s">
        <v>124</v>
      </c>
      <c r="C50" s="676">
        <f>15922544+189000-45500+45500-1183920</f>
        <v>14927624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</row>
    <row r="54" spans="1:3" ht="12" customHeight="1" x14ac:dyDescent="0.2">
      <c r="A54" s="221" t="s">
        <v>105</v>
      </c>
      <c r="B54" s="6" t="s">
        <v>172</v>
      </c>
      <c r="C54" s="682">
        <v>610850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6">
        <f>+C47+C53+C58</f>
        <v>102247250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43"/>
  <dimension ref="A1:C60"/>
  <sheetViews>
    <sheetView topLeftCell="A49" workbookViewId="0">
      <selection activeCell="E13" sqref="E13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5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505"/>
      <c r="C1" s="1505"/>
    </row>
    <row r="2" spans="1:3" ht="16.5" thickBot="1" x14ac:dyDescent="0.25">
      <c r="A2" s="80"/>
      <c r="B2" s="82"/>
      <c r="C2" s="225"/>
    </row>
    <row r="3" spans="1:3" ht="36" x14ac:dyDescent="0.2">
      <c r="A3" s="183" t="s">
        <v>166</v>
      </c>
      <c r="B3" s="162" t="s">
        <v>536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29"/>
    </row>
    <row r="12" spans="1:3" x14ac:dyDescent="0.2">
      <c r="A12" s="221" t="s">
        <v>101</v>
      </c>
      <c r="B12" s="5" t="s">
        <v>224</v>
      </c>
      <c r="C12" s="129"/>
    </row>
    <row r="13" spans="1:3" x14ac:dyDescent="0.2">
      <c r="A13" s="221" t="s">
        <v>102</v>
      </c>
      <c r="B13" s="5" t="s">
        <v>225</v>
      </c>
      <c r="C13" s="129"/>
    </row>
    <row r="14" spans="1:3" x14ac:dyDescent="0.2">
      <c r="A14" s="221" t="s">
        <v>125</v>
      </c>
      <c r="B14" s="5" t="s">
        <v>226</v>
      </c>
      <c r="C14" s="129"/>
    </row>
    <row r="15" spans="1:3" x14ac:dyDescent="0.2">
      <c r="A15" s="221" t="s">
        <v>103</v>
      </c>
      <c r="B15" s="5" t="s">
        <v>347</v>
      </c>
      <c r="C15" s="129"/>
    </row>
    <row r="16" spans="1:3" x14ac:dyDescent="0.2">
      <c r="A16" s="221" t="s">
        <v>104</v>
      </c>
      <c r="B16" s="4" t="s">
        <v>348</v>
      </c>
      <c r="C16" s="129"/>
    </row>
    <row r="17" spans="1:3" x14ac:dyDescent="0.2">
      <c r="A17" s="221" t="s">
        <v>114</v>
      </c>
      <c r="B17" s="5" t="s">
        <v>229</v>
      </c>
      <c r="C17" s="168"/>
    </row>
    <row r="18" spans="1:3" x14ac:dyDescent="0.2">
      <c r="A18" s="221" t="s">
        <v>115</v>
      </c>
      <c r="B18" s="5" t="s">
        <v>230</v>
      </c>
      <c r="C18" s="129"/>
    </row>
    <row r="19" spans="1:3" x14ac:dyDescent="0.2">
      <c r="A19" s="221" t="s">
        <v>116</v>
      </c>
      <c r="B19" s="5" t="s">
        <v>452</v>
      </c>
      <c r="C19" s="130"/>
    </row>
    <row r="20" spans="1:3" ht="13.5" thickBot="1" x14ac:dyDescent="0.25">
      <c r="A20" s="221" t="s">
        <v>117</v>
      </c>
      <c r="B20" s="4" t="s">
        <v>231</v>
      </c>
      <c r="C20" s="130"/>
    </row>
    <row r="21" spans="1:3" ht="13.5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29"/>
    </row>
    <row r="24" spans="1:3" x14ac:dyDescent="0.2">
      <c r="A24" s="221" t="s">
        <v>107</v>
      </c>
      <c r="B24" s="5" t="s">
        <v>351</v>
      </c>
      <c r="C24" s="129"/>
    </row>
    <row r="25" spans="1:3" ht="13.5" thickBot="1" x14ac:dyDescent="0.25">
      <c r="A25" s="221" t="s">
        <v>108</v>
      </c>
      <c r="B25" s="5" t="s">
        <v>531</v>
      </c>
      <c r="C25" s="129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532</v>
      </c>
      <c r="C27" s="1196">
        <f>+C28+C29</f>
        <v>0</v>
      </c>
    </row>
    <row r="28" spans="1:3" x14ac:dyDescent="0.2">
      <c r="A28" s="222" t="s">
        <v>210</v>
      </c>
      <c r="B28" s="223" t="s">
        <v>350</v>
      </c>
      <c r="C28" s="1193"/>
    </row>
    <row r="29" spans="1:3" x14ac:dyDescent="0.2">
      <c r="A29" s="222" t="s">
        <v>213</v>
      </c>
      <c r="B29" s="224" t="s">
        <v>352</v>
      </c>
      <c r="C29" s="132"/>
    </row>
    <row r="30" spans="1:3" ht="13.5" thickBot="1" x14ac:dyDescent="0.25">
      <c r="A30" s="221" t="s">
        <v>214</v>
      </c>
      <c r="B30" s="60" t="s">
        <v>533</v>
      </c>
      <c r="C30" s="1195"/>
    </row>
    <row r="31" spans="1:3" ht="13.5" thickBot="1" x14ac:dyDescent="0.25">
      <c r="A31" s="77" t="s">
        <v>25</v>
      </c>
      <c r="B31" s="57" t="s">
        <v>353</v>
      </c>
      <c r="C31" s="1196">
        <f>+C32+C33+C34</f>
        <v>0</v>
      </c>
    </row>
    <row r="32" spans="1:3" x14ac:dyDescent="0.2">
      <c r="A32" s="222" t="s">
        <v>92</v>
      </c>
      <c r="B32" s="223" t="s">
        <v>236</v>
      </c>
      <c r="C32" s="1193"/>
    </row>
    <row r="33" spans="1:3" x14ac:dyDescent="0.2">
      <c r="A33" s="222" t="s">
        <v>93</v>
      </c>
      <c r="B33" s="224" t="s">
        <v>237</v>
      </c>
      <c r="C33" s="132"/>
    </row>
    <row r="34" spans="1:3" ht="13.5" thickBot="1" x14ac:dyDescent="0.25">
      <c r="A34" s="221" t="s">
        <v>94</v>
      </c>
      <c r="B34" s="60" t="s">
        <v>238</v>
      </c>
      <c r="C34" s="1195"/>
    </row>
    <row r="35" spans="1:3" ht="13.5" thickBot="1" x14ac:dyDescent="0.25">
      <c r="A35" s="77" t="s">
        <v>26</v>
      </c>
      <c r="B35" s="57" t="s">
        <v>324</v>
      </c>
      <c r="C35" s="152"/>
    </row>
    <row r="36" spans="1:3" ht="13.5" thickBot="1" x14ac:dyDescent="0.25">
      <c r="A36" s="77" t="s">
        <v>27</v>
      </c>
      <c r="B36" s="57" t="s">
        <v>354</v>
      </c>
      <c r="C36" s="169"/>
    </row>
    <row r="37" spans="1:3" ht="13.5" thickBot="1" x14ac:dyDescent="0.25">
      <c r="A37" s="74" t="s">
        <v>28</v>
      </c>
      <c r="B37" s="57" t="s">
        <v>534</v>
      </c>
      <c r="C37" s="1197">
        <f>+C9+C21+C26+C27+C31+C35+C36</f>
        <v>0</v>
      </c>
    </row>
    <row r="38" spans="1:3" ht="13.5" thickBot="1" x14ac:dyDescent="0.25">
      <c r="A38" s="92" t="s">
        <v>29</v>
      </c>
      <c r="B38" s="57" t="s">
        <v>356</v>
      </c>
      <c r="C38" s="1197">
        <f>+C39+C40+C41</f>
        <v>0</v>
      </c>
    </row>
    <row r="39" spans="1:3" x14ac:dyDescent="0.2">
      <c r="A39" s="222" t="s">
        <v>357</v>
      </c>
      <c r="B39" s="223" t="s">
        <v>181</v>
      </c>
      <c r="C39" s="1193"/>
    </row>
    <row r="40" spans="1:3" x14ac:dyDescent="0.2">
      <c r="A40" s="222" t="s">
        <v>358</v>
      </c>
      <c r="B40" s="224" t="s">
        <v>9</v>
      </c>
      <c r="C40" s="132"/>
    </row>
    <row r="41" spans="1:3" ht="13.5" thickBot="1" x14ac:dyDescent="0.25">
      <c r="A41" s="221" t="s">
        <v>359</v>
      </c>
      <c r="B41" s="60" t="s">
        <v>360</v>
      </c>
      <c r="C41" s="1195"/>
    </row>
    <row r="42" spans="1:3" ht="13.5" thickBot="1" x14ac:dyDescent="0.25">
      <c r="A42" s="92" t="s">
        <v>30</v>
      </c>
      <c r="B42" s="93" t="s">
        <v>361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362</v>
      </c>
      <c r="C46" s="1196">
        <f>SUM(C47:C51)</f>
        <v>0</v>
      </c>
    </row>
    <row r="47" spans="1:3" x14ac:dyDescent="0.2">
      <c r="A47" s="221" t="s">
        <v>99</v>
      </c>
      <c r="B47" s="6" t="s">
        <v>51</v>
      </c>
      <c r="C47" s="1193"/>
    </row>
    <row r="48" spans="1:3" x14ac:dyDescent="0.2">
      <c r="A48" s="221" t="s">
        <v>100</v>
      </c>
      <c r="B48" s="5" t="s">
        <v>148</v>
      </c>
      <c r="C48" s="1194"/>
    </row>
    <row r="49" spans="1:3" x14ac:dyDescent="0.2">
      <c r="A49" s="221" t="s">
        <v>101</v>
      </c>
      <c r="B49" s="5" t="s">
        <v>124</v>
      </c>
      <c r="C49" s="1194"/>
    </row>
    <row r="50" spans="1:3" x14ac:dyDescent="0.2">
      <c r="A50" s="221" t="s">
        <v>102</v>
      </c>
      <c r="B50" s="5" t="s">
        <v>149</v>
      </c>
      <c r="C50" s="1194"/>
    </row>
    <row r="51" spans="1:3" ht="13.5" thickBot="1" x14ac:dyDescent="0.25">
      <c r="A51" s="221" t="s">
        <v>125</v>
      </c>
      <c r="B51" s="5" t="s">
        <v>150</v>
      </c>
      <c r="C51" s="1194"/>
    </row>
    <row r="52" spans="1:3" ht="13.5" thickBot="1" x14ac:dyDescent="0.25">
      <c r="A52" s="77" t="s">
        <v>22</v>
      </c>
      <c r="B52" s="57" t="s">
        <v>363</v>
      </c>
      <c r="C52" s="1196">
        <f>SUM(C53:C55)</f>
        <v>0</v>
      </c>
    </row>
    <row r="53" spans="1:3" x14ac:dyDescent="0.2">
      <c r="A53" s="221" t="s">
        <v>105</v>
      </c>
      <c r="B53" s="6" t="s">
        <v>172</v>
      </c>
      <c r="C53" s="1193"/>
    </row>
    <row r="54" spans="1:3" x14ac:dyDescent="0.2">
      <c r="A54" s="221" t="s">
        <v>106</v>
      </c>
      <c r="B54" s="5" t="s">
        <v>152</v>
      </c>
      <c r="C54" s="1194"/>
    </row>
    <row r="55" spans="1:3" x14ac:dyDescent="0.2">
      <c r="A55" s="221" t="s">
        <v>107</v>
      </c>
      <c r="B55" s="5" t="s">
        <v>60</v>
      </c>
      <c r="C55" s="1194"/>
    </row>
    <row r="56" spans="1:3" ht="13.5" thickBot="1" x14ac:dyDescent="0.25">
      <c r="A56" s="221" t="s">
        <v>108</v>
      </c>
      <c r="B56" s="5" t="s">
        <v>526</v>
      </c>
      <c r="C56" s="1194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527</v>
      </c>
      <c r="C58" s="173">
        <f>+C46+C52+C57</f>
        <v>0</v>
      </c>
    </row>
    <row r="59" spans="1:3" ht="13.5" thickBot="1" x14ac:dyDescent="0.25">
      <c r="A59" s="101"/>
      <c r="B59" s="1013"/>
      <c r="C59" s="174"/>
    </row>
    <row r="60" spans="1:3" ht="13.5" thickBot="1" x14ac:dyDescent="0.25">
      <c r="A60" s="102" t="s">
        <v>520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44">
    <pageSetUpPr fitToPage="1"/>
  </sheetPr>
  <dimension ref="A1:K20"/>
  <sheetViews>
    <sheetView zoomScaleSheetLayoutView="115" zoomScalePageLayoutView="85" workbookViewId="0">
      <selection activeCell="F18" sqref="F18"/>
    </sheetView>
  </sheetViews>
  <sheetFormatPr defaultColWidth="12.5" defaultRowHeight="12.75" x14ac:dyDescent="0.2"/>
  <cols>
    <col min="1" max="1" width="35.83203125" style="786" customWidth="1"/>
    <col min="2" max="2" width="12" style="786" customWidth="1"/>
    <col min="3" max="3" width="16" style="786" customWidth="1"/>
    <col min="4" max="4" width="15" style="800" customWidth="1"/>
    <col min="5" max="5" width="14" style="786" customWidth="1"/>
    <col min="6" max="6" width="13.6640625" style="786" customWidth="1"/>
    <col min="7" max="7" width="13.33203125" style="786" customWidth="1"/>
    <col min="8" max="8" width="14.1640625" style="786" customWidth="1"/>
    <col min="9" max="10" width="12" style="786" customWidth="1"/>
    <col min="11" max="11" width="14.83203125" style="800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16" t="str">
        <f>CONCATENATE("22. melléklet"," ",ALAPADATOK!A7," ",ALAPADATOK!B7," ",ALAPADATOK!C7," ",ALAPADATOK!D7," ",ALAPADATOK!E7," ",ALAPADATOK!F7," ",ALAPADATOK!G7," ",ALAPADATOK!H7)</f>
        <v>22. melléklet a  / 2020. (  ) önkormányzati rendelethez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</row>
    <row r="2" spans="1:11" x14ac:dyDescent="0.2">
      <c r="A2" s="784"/>
      <c r="B2" s="784"/>
      <c r="C2" s="784"/>
      <c r="D2" s="785"/>
      <c r="E2" s="784"/>
      <c r="F2" s="784"/>
      <c r="G2" s="787"/>
      <c r="H2" s="787"/>
      <c r="I2" s="787"/>
      <c r="J2" s="787"/>
      <c r="K2" s="788"/>
    </row>
    <row r="3" spans="1:11" x14ac:dyDescent="0.2">
      <c r="A3" s="784"/>
      <c r="B3" s="784"/>
      <c r="C3" s="784"/>
      <c r="D3" s="785"/>
      <c r="E3" s="784"/>
      <c r="F3" s="784"/>
      <c r="G3" s="787"/>
      <c r="H3" s="787"/>
      <c r="I3" s="787"/>
      <c r="J3" s="787"/>
      <c r="K3" s="789"/>
    </row>
    <row r="4" spans="1:11" ht="19.5" x14ac:dyDescent="0.35">
      <c r="A4" s="790" t="s">
        <v>384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ht="19.5" x14ac:dyDescent="0.35">
      <c r="A5" s="790" t="s">
        <v>814</v>
      </c>
      <c r="B5" s="790"/>
      <c r="C5" s="790"/>
      <c r="D5" s="790"/>
      <c r="E5" s="790"/>
      <c r="F5" s="790"/>
      <c r="G5" s="790"/>
      <c r="H5" s="790"/>
      <c r="I5" s="790"/>
      <c r="J5" s="790"/>
      <c r="K5" s="790"/>
    </row>
    <row r="6" spans="1:11" ht="13.5" thickBot="1" x14ac:dyDescent="0.25">
      <c r="A6" s="784"/>
      <c r="B6" s="784"/>
      <c r="C6" s="784"/>
      <c r="D6" s="785"/>
      <c r="E6" s="784"/>
      <c r="F6" s="784"/>
      <c r="G6" s="784"/>
      <c r="H6" s="784"/>
      <c r="I6" s="784"/>
      <c r="J6" s="784"/>
      <c r="K6" s="791" t="s">
        <v>4</v>
      </c>
    </row>
    <row r="7" spans="1:11" ht="15.95" customHeight="1" x14ac:dyDescent="0.2">
      <c r="A7" s="1517" t="s">
        <v>2</v>
      </c>
      <c r="B7" s="1520" t="s">
        <v>385</v>
      </c>
      <c r="C7" s="1521"/>
      <c r="D7" s="1521"/>
      <c r="E7" s="1522" t="s">
        <v>575</v>
      </c>
      <c r="F7" s="1523"/>
      <c r="G7" s="1523"/>
      <c r="H7" s="1523"/>
      <c r="I7" s="1523"/>
      <c r="J7" s="1523"/>
      <c r="K7" s="1524"/>
    </row>
    <row r="8" spans="1:11" ht="15.95" customHeight="1" x14ac:dyDescent="0.2">
      <c r="A8" s="1518"/>
      <c r="B8" s="792" t="s">
        <v>386</v>
      </c>
      <c r="C8" s="792" t="s">
        <v>387</v>
      </c>
      <c r="D8" s="792" t="s">
        <v>388</v>
      </c>
      <c r="E8" s="792" t="s">
        <v>389</v>
      </c>
      <c r="F8" s="792" t="s">
        <v>390</v>
      </c>
      <c r="G8" s="792" t="s">
        <v>391</v>
      </c>
      <c r="H8" s="1525" t="s">
        <v>150</v>
      </c>
      <c r="I8" s="792" t="s">
        <v>392</v>
      </c>
      <c r="J8" s="792" t="s">
        <v>393</v>
      </c>
      <c r="K8" s="793" t="s">
        <v>388</v>
      </c>
    </row>
    <row r="9" spans="1:11" ht="15.95" customHeight="1" x14ac:dyDescent="0.2">
      <c r="A9" s="1519"/>
      <c r="B9" s="792" t="s">
        <v>394</v>
      </c>
      <c r="C9" s="792" t="s">
        <v>395</v>
      </c>
      <c r="D9" s="792" t="s">
        <v>396</v>
      </c>
      <c r="E9" s="792" t="s">
        <v>397</v>
      </c>
      <c r="F9" s="792" t="s">
        <v>398</v>
      </c>
      <c r="G9" s="792" t="s">
        <v>399</v>
      </c>
      <c r="H9" s="1526"/>
      <c r="I9" s="792" t="s">
        <v>400</v>
      </c>
      <c r="J9" s="792" t="s">
        <v>399</v>
      </c>
      <c r="K9" s="793" t="s">
        <v>401</v>
      </c>
    </row>
    <row r="10" spans="1:11" ht="15.95" customHeight="1" x14ac:dyDescent="0.2">
      <c r="A10" s="794" t="s">
        <v>402</v>
      </c>
      <c r="B10" s="1211">
        <f>68310022</f>
        <v>68310022</v>
      </c>
      <c r="C10" s="1366">
        <f t="shared" ref="C10:C15" si="0">K10-B10</f>
        <v>146818597</v>
      </c>
      <c r="D10" s="1244">
        <f t="shared" ref="D10:D15" si="1">SUM(B10:C10)</f>
        <v>215128619</v>
      </c>
      <c r="E10" s="1211">
        <v>69090783</v>
      </c>
      <c r="F10" s="1366">
        <v>12885750</v>
      </c>
      <c r="G10" s="1211">
        <v>131052086</v>
      </c>
      <c r="H10" s="1203"/>
      <c r="I10" s="1203"/>
      <c r="J10" s="1203">
        <v>2100000</v>
      </c>
      <c r="K10" s="1201">
        <f t="shared" ref="K10:K15" si="2">SUM(E10:J10)</f>
        <v>215128619</v>
      </c>
    </row>
    <row r="11" spans="1:11" ht="15.95" customHeight="1" x14ac:dyDescent="0.2">
      <c r="A11" s="794" t="s">
        <v>0</v>
      </c>
      <c r="B11" s="1366">
        <v>9264236</v>
      </c>
      <c r="C11" s="1366">
        <f t="shared" si="0"/>
        <v>327407275</v>
      </c>
      <c r="D11" s="1244">
        <f t="shared" si="1"/>
        <v>336671511</v>
      </c>
      <c r="E11" s="1366">
        <v>209679278</v>
      </c>
      <c r="F11" s="1366">
        <v>41711492</v>
      </c>
      <c r="G11" s="1366">
        <v>83858191</v>
      </c>
      <c r="H11" s="1203"/>
      <c r="I11" s="1203"/>
      <c r="J11" s="1203">
        <v>1422550</v>
      </c>
      <c r="K11" s="1201">
        <f t="shared" si="2"/>
        <v>336671511</v>
      </c>
    </row>
    <row r="12" spans="1:11" ht="15.95" customHeight="1" x14ac:dyDescent="0.2">
      <c r="A12" s="794" t="s">
        <v>564</v>
      </c>
      <c r="B12" s="1211">
        <f>25278253+127598+249830</f>
        <v>25655681</v>
      </c>
      <c r="C12" s="1211">
        <f t="shared" si="0"/>
        <v>94516271</v>
      </c>
      <c r="D12" s="1244">
        <f t="shared" si="1"/>
        <v>120171952</v>
      </c>
      <c r="E12" s="1211">
        <v>55350452</v>
      </c>
      <c r="F12" s="1366">
        <v>9898597</v>
      </c>
      <c r="G12" s="1366">
        <v>50953820</v>
      </c>
      <c r="H12" s="1203">
        <v>2500</v>
      </c>
      <c r="I12" s="1203"/>
      <c r="J12" s="1211">
        <f>3254155+249830+335000+127598</f>
        <v>3966583</v>
      </c>
      <c r="K12" s="1201">
        <f t="shared" si="2"/>
        <v>120171952</v>
      </c>
    </row>
    <row r="13" spans="1:11" s="316" customFormat="1" ht="18" customHeight="1" x14ac:dyDescent="0.2">
      <c r="A13" s="795" t="s">
        <v>547</v>
      </c>
      <c r="B13" s="1202">
        <f>319887298+1570651+5168705</f>
        <v>326626654</v>
      </c>
      <c r="C13" s="1366">
        <f t="shared" si="0"/>
        <v>609455766</v>
      </c>
      <c r="D13" s="1244">
        <f t="shared" si="1"/>
        <v>936082420</v>
      </c>
      <c r="E13" s="1211">
        <v>591027286</v>
      </c>
      <c r="F13" s="1203">
        <v>109854346</v>
      </c>
      <c r="G13" s="1211">
        <v>217075737</v>
      </c>
      <c r="H13" s="1211"/>
      <c r="I13" s="1211"/>
      <c r="J13" s="1203">
        <v>18125051</v>
      </c>
      <c r="K13" s="1201">
        <f t="shared" si="2"/>
        <v>936082420</v>
      </c>
    </row>
    <row r="14" spans="1:11" s="316" customFormat="1" ht="18" customHeight="1" x14ac:dyDescent="0.2">
      <c r="A14" s="795" t="s">
        <v>536</v>
      </c>
      <c r="B14" s="1367">
        <v>2190306</v>
      </c>
      <c r="C14" s="1366">
        <f t="shared" si="0"/>
        <v>100056944</v>
      </c>
      <c r="D14" s="1244">
        <f t="shared" si="1"/>
        <v>102247250</v>
      </c>
      <c r="E14" s="1423">
        <v>73585777</v>
      </c>
      <c r="F14" s="1368">
        <v>13122999</v>
      </c>
      <c r="G14" s="1368">
        <v>14927624</v>
      </c>
      <c r="H14" s="1204"/>
      <c r="I14" s="1204"/>
      <c r="J14" s="1204">
        <v>610850</v>
      </c>
      <c r="K14" s="1201">
        <f t="shared" si="2"/>
        <v>102247250</v>
      </c>
    </row>
    <row r="15" spans="1:11" s="316" customFormat="1" ht="18" customHeight="1" x14ac:dyDescent="0.2">
      <c r="A15" s="795" t="s">
        <v>548</v>
      </c>
      <c r="B15" s="1367">
        <f>'9.2. sz. mell. '!C9+'9.2. sz. mell. '!C32+'9.2. sz. mell. '!C40</f>
        <v>10741068</v>
      </c>
      <c r="C15" s="1366">
        <f t="shared" si="0"/>
        <v>234767636</v>
      </c>
      <c r="D15" s="1244">
        <f t="shared" si="1"/>
        <v>245508704</v>
      </c>
      <c r="E15" s="1368">
        <f>'9.2. sz. mell. '!C48</f>
        <v>165618530</v>
      </c>
      <c r="F15" s="1368">
        <f>'9.2. sz. mell. '!C49</f>
        <v>32185066</v>
      </c>
      <c r="G15" s="1368">
        <f>'9.2. sz. mell. '!C50</f>
        <v>42657708</v>
      </c>
      <c r="H15" s="1204"/>
      <c r="I15" s="1204"/>
      <c r="J15" s="1204">
        <f>'9.2. sz. mell. '!C54</f>
        <v>5047400</v>
      </c>
      <c r="K15" s="1201">
        <f t="shared" si="2"/>
        <v>245508704</v>
      </c>
    </row>
    <row r="16" spans="1:11" s="482" customFormat="1" ht="18" customHeight="1" thickBot="1" x14ac:dyDescent="0.25">
      <c r="A16" s="796" t="s">
        <v>404</v>
      </c>
      <c r="B16" s="1144">
        <f t="shared" ref="B16:J16" si="3">SUM(B10:B15)</f>
        <v>442787967</v>
      </c>
      <c r="C16" s="1369">
        <f t="shared" si="3"/>
        <v>1513022489</v>
      </c>
      <c r="D16" s="1369">
        <f t="shared" si="3"/>
        <v>1955810456</v>
      </c>
      <c r="E16" s="1369">
        <f t="shared" si="3"/>
        <v>1164352106</v>
      </c>
      <c r="F16" s="1369">
        <f t="shared" si="3"/>
        <v>219658250</v>
      </c>
      <c r="G16" s="1369">
        <f t="shared" si="3"/>
        <v>540525166</v>
      </c>
      <c r="H16" s="1144">
        <f t="shared" si="3"/>
        <v>2500</v>
      </c>
      <c r="I16" s="1144">
        <f t="shared" si="3"/>
        <v>0</v>
      </c>
      <c r="J16" s="1144">
        <f t="shared" si="3"/>
        <v>31272434</v>
      </c>
      <c r="K16" s="1192">
        <f>SUM(K10:K15)</f>
        <v>1955810456</v>
      </c>
    </row>
    <row r="17" spans="1:11" s="427" customFormat="1" ht="11.25" x14ac:dyDescent="0.2">
      <c r="A17" s="797"/>
      <c r="B17" s="797"/>
      <c r="C17" s="797"/>
      <c r="D17" s="798"/>
      <c r="E17" s="797"/>
      <c r="F17" s="797"/>
      <c r="G17" s="797"/>
      <c r="H17" s="797"/>
      <c r="I17" s="797"/>
      <c r="J17" s="797"/>
      <c r="K17" s="798"/>
    </row>
    <row r="18" spans="1:11" s="427" customFormat="1" ht="11.25" x14ac:dyDescent="0.2">
      <c r="A18" s="797"/>
      <c r="B18" s="797"/>
      <c r="C18" s="797"/>
      <c r="D18" s="798"/>
      <c r="E18" s="797"/>
      <c r="F18" s="797"/>
      <c r="G18" s="797"/>
      <c r="H18" s="797"/>
      <c r="I18" s="797"/>
      <c r="J18" s="797"/>
      <c r="K18" s="798"/>
    </row>
    <row r="19" spans="1:11" x14ac:dyDescent="0.2">
      <c r="B19" s="799"/>
      <c r="C19" s="799"/>
      <c r="D19" s="799"/>
    </row>
    <row r="20" spans="1:11" x14ac:dyDescent="0.2">
      <c r="C20" s="799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45"/>
  <dimension ref="A1:G35"/>
  <sheetViews>
    <sheetView workbookViewId="0">
      <selection activeCell="E17" sqref="E17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27" t="str">
        <f>CONCATENATE("23. melléklet"," ",ALAPADATOK!A7," ",ALAPADATOK!B7," ",ALAPADATOK!C7," ",ALAPADATOK!D7," ",ALAPADATOK!E7," ",ALAPADATOK!F7," ",ALAPADATOK!G7," ",ALAPADATOK!H7)</f>
        <v>23. melléklet a  / 2020. (  ) önkormányzati rendelethez</v>
      </c>
      <c r="B1" s="1527"/>
      <c r="C1" s="1527"/>
      <c r="D1" s="1527"/>
      <c r="E1" s="1038"/>
      <c r="F1" s="1038"/>
      <c r="G1" s="1038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379</v>
      </c>
      <c r="B7" s="319"/>
      <c r="C7" s="319"/>
      <c r="D7" s="407"/>
    </row>
    <row r="8" spans="1:7" ht="19.5" x14ac:dyDescent="0.35">
      <c r="A8" s="319" t="s">
        <v>815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447">
        <f>20000000+10207308-13229384-322815+29863551-32000+769709+109500</f>
        <v>47365869</v>
      </c>
      <c r="E14" s="492"/>
      <c r="F14" s="493"/>
    </row>
    <row r="15" spans="1:7" ht="15.75" x14ac:dyDescent="0.25">
      <c r="A15" s="439" t="s">
        <v>381</v>
      </c>
      <c r="B15" s="448"/>
      <c r="C15" s="449"/>
      <c r="D15" s="450"/>
      <c r="E15" s="493"/>
      <c r="F15" s="493"/>
    </row>
    <row r="16" spans="1:7" x14ac:dyDescent="0.2">
      <c r="A16" s="698" t="s">
        <v>675</v>
      </c>
      <c r="B16" s="411"/>
      <c r="C16" s="440"/>
      <c r="D16" s="1210">
        <f>10000000-810685-3737</f>
        <v>9185578</v>
      </c>
      <c r="E16" s="412"/>
      <c r="F16" s="410"/>
    </row>
    <row r="17" spans="1:6" x14ac:dyDescent="0.2">
      <c r="A17" s="698" t="s">
        <v>676</v>
      </c>
      <c r="B17" s="411"/>
      <c r="C17" s="440"/>
      <c r="D17" s="1210">
        <v>300000</v>
      </c>
      <c r="E17" s="412"/>
      <c r="F17" s="410"/>
    </row>
    <row r="18" spans="1:6" x14ac:dyDescent="0.2">
      <c r="A18" s="698" t="s">
        <v>677</v>
      </c>
      <c r="B18" s="411"/>
      <c r="C18" s="440"/>
      <c r="D18" s="1210">
        <v>900000</v>
      </c>
      <c r="E18" s="412"/>
      <c r="F18" s="410"/>
    </row>
    <row r="19" spans="1:6" x14ac:dyDescent="0.2">
      <c r="A19" s="698" t="s">
        <v>678</v>
      </c>
      <c r="B19" s="411"/>
      <c r="C19" s="440"/>
      <c r="D19" s="1210">
        <v>400000</v>
      </c>
      <c r="E19" s="412"/>
      <c r="F19" s="410"/>
    </row>
    <row r="20" spans="1:6" x14ac:dyDescent="0.2">
      <c r="A20" s="1045" t="s">
        <v>933</v>
      </c>
      <c r="B20" s="411"/>
      <c r="C20" s="440"/>
      <c r="D20" s="1210">
        <f>46062453-133623</f>
        <v>45928830</v>
      </c>
      <c r="E20" s="412"/>
      <c r="F20" s="410"/>
    </row>
    <row r="21" spans="1:6" x14ac:dyDescent="0.2">
      <c r="A21" s="700" t="s">
        <v>680</v>
      </c>
      <c r="B21" s="429"/>
      <c r="C21" s="440"/>
      <c r="D21" s="1210">
        <f>500000-250000</f>
        <v>250000</v>
      </c>
      <c r="E21" s="412"/>
      <c r="F21" s="410"/>
    </row>
    <row r="22" spans="1:6" x14ac:dyDescent="0.2">
      <c r="A22" s="428" t="s">
        <v>582</v>
      </c>
      <c r="B22" s="429"/>
      <c r="C22" s="440"/>
      <c r="D22" s="1210">
        <v>3500000</v>
      </c>
      <c r="E22" s="412"/>
      <c r="F22" s="410"/>
    </row>
    <row r="23" spans="1:6" x14ac:dyDescent="0.2">
      <c r="A23" s="699" t="s">
        <v>940</v>
      </c>
      <c r="B23" s="485"/>
      <c r="C23" s="486"/>
      <c r="D23" s="487">
        <v>2750000</v>
      </c>
      <c r="E23" s="412"/>
      <c r="F23" s="410"/>
    </row>
    <row r="24" spans="1:6" x14ac:dyDescent="0.2">
      <c r="A24" s="699" t="s">
        <v>939</v>
      </c>
      <c r="B24" s="485"/>
      <c r="C24" s="486"/>
      <c r="D24" s="1176">
        <f>1825000-300000</f>
        <v>1525000</v>
      </c>
      <c r="E24" s="412"/>
      <c r="F24" s="410"/>
    </row>
    <row r="25" spans="1:6" x14ac:dyDescent="0.2">
      <c r="A25" s="699" t="s">
        <v>938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937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936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935</v>
      </c>
      <c r="B28" s="485"/>
      <c r="C28" s="486"/>
      <c r="D28" s="1176">
        <f>6985000-381000</f>
        <v>6604000</v>
      </c>
      <c r="E28" s="412"/>
      <c r="F28" s="410"/>
    </row>
    <row r="29" spans="1:6" x14ac:dyDescent="0.2">
      <c r="A29" s="1446" t="s">
        <v>934</v>
      </c>
      <c r="B29" s="485"/>
      <c r="C29" s="486"/>
      <c r="D29" s="487">
        <f>15000000-15000000</f>
        <v>0</v>
      </c>
      <c r="E29" s="412"/>
      <c r="F29" s="410"/>
    </row>
    <row r="30" spans="1:6" x14ac:dyDescent="0.2">
      <c r="A30" s="1446" t="s">
        <v>681</v>
      </c>
      <c r="B30" s="485"/>
      <c r="C30" s="486"/>
      <c r="D30" s="487">
        <v>4000000</v>
      </c>
      <c r="E30" s="412"/>
      <c r="F30" s="410"/>
    </row>
    <row r="31" spans="1:6" x14ac:dyDescent="0.2">
      <c r="A31" s="1446" t="s">
        <v>679</v>
      </c>
      <c r="B31" s="485"/>
      <c r="C31" s="486"/>
      <c r="D31" s="487">
        <f>1588385-1588385</f>
        <v>0</v>
      </c>
      <c r="E31" s="412"/>
      <c r="F31" s="410"/>
    </row>
    <row r="32" spans="1:6" x14ac:dyDescent="0.2">
      <c r="A32" s="1446" t="s">
        <v>1034</v>
      </c>
      <c r="B32" s="485"/>
      <c r="C32" s="486"/>
      <c r="D32" s="1176">
        <f>11503705-11503705</f>
        <v>0</v>
      </c>
      <c r="E32" s="412"/>
      <c r="F32" s="410"/>
    </row>
    <row r="33" spans="1:4" ht="16.5" thickBot="1" x14ac:dyDescent="0.3">
      <c r="A33" s="441" t="s">
        <v>382</v>
      </c>
      <c r="B33" s="442"/>
      <c r="C33" s="443"/>
      <c r="D33" s="622">
        <f>SUM(D16:D32)</f>
        <v>94773408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383</v>
      </c>
      <c r="B35" s="445"/>
      <c r="C35" s="446"/>
      <c r="D35" s="447">
        <f>SUM(D14,D33)</f>
        <v>142139277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Munka46"/>
  <dimension ref="A1:K164"/>
  <sheetViews>
    <sheetView view="pageBreakPreview" zoomScale="85" zoomScaleNormal="100" zoomScaleSheetLayoutView="85" workbookViewId="0">
      <selection activeCell="D22" sqref="D22"/>
    </sheetView>
  </sheetViews>
  <sheetFormatPr defaultRowHeight="15.75" x14ac:dyDescent="0.25"/>
  <cols>
    <col min="1" max="1" width="9" style="1016" customWidth="1"/>
    <col min="2" max="2" width="67.1640625" style="1016" bestFit="1" customWidth="1"/>
    <col min="3" max="3" width="16.5" style="1031" customWidth="1"/>
    <col min="4" max="4" width="15.5" style="1031" customWidth="1"/>
    <col min="5" max="7" width="15.5" style="1031" hidden="1" customWidth="1"/>
    <col min="8" max="8" width="15.5" style="1031" customWidth="1"/>
    <col min="9" max="9" width="14.33203125" style="1015" hidden="1" customWidth="1"/>
    <col min="10" max="10" width="12.6640625" style="1015" hidden="1" customWidth="1"/>
    <col min="11" max="11" width="14.33203125" style="1015" hidden="1" customWidth="1"/>
    <col min="12" max="16384" width="9.33203125" style="1015"/>
  </cols>
  <sheetData>
    <row r="1" spans="1:11" x14ac:dyDescent="0.25">
      <c r="A1" s="1528" t="str">
        <f>CONCATENATE("24. melléklet"," ",ALAPADATOK!A7," ",ALAPADATOK!B7," ",ALAPADATOK!C7," ",ALAPADATOK!D7," ",ALAPADATOK!E7," ",ALAPADATOK!F7," ",ALAPADATOK!G7," ",ALAPADATOK!H7)</f>
        <v>24. melléklet a  / 2020. (  ) önkormányzati rendelethez</v>
      </c>
      <c r="B1" s="1528"/>
      <c r="C1" s="1528"/>
      <c r="D1" s="1528"/>
      <c r="E1" s="1528"/>
      <c r="F1" s="1528"/>
      <c r="G1" s="1528"/>
      <c r="H1" s="1528"/>
    </row>
    <row r="2" spans="1:11" x14ac:dyDescent="0.25">
      <c r="H2" s="1419" t="s">
        <v>1027</v>
      </c>
    </row>
    <row r="3" spans="1:11" ht="35.25" customHeight="1" x14ac:dyDescent="0.25">
      <c r="A3" s="1529" t="s">
        <v>817</v>
      </c>
      <c r="B3" s="1530"/>
      <c r="C3" s="1530"/>
      <c r="D3" s="1530"/>
      <c r="E3" s="1530"/>
      <c r="F3" s="1530"/>
      <c r="G3" s="1530"/>
      <c r="H3" s="1530"/>
    </row>
    <row r="5" spans="1:11" ht="15.95" customHeight="1" x14ac:dyDescent="0.25">
      <c r="A5" s="1457" t="s">
        <v>18</v>
      </c>
      <c r="B5" s="1457"/>
      <c r="C5" s="1457"/>
      <c r="D5" s="1457"/>
      <c r="E5" s="1457"/>
      <c r="F5" s="1457"/>
      <c r="G5" s="1457"/>
      <c r="H5" s="1457"/>
    </row>
    <row r="6" spans="1:11" ht="15.95" customHeight="1" thickBot="1" x14ac:dyDescent="0.3">
      <c r="A6" s="1456" t="s">
        <v>128</v>
      </c>
      <c r="B6" s="1456"/>
      <c r="C6" s="624"/>
      <c r="D6" s="624"/>
      <c r="E6" s="625"/>
      <c r="F6" s="625"/>
      <c r="G6" s="625"/>
      <c r="H6" s="626" t="s">
        <v>563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816</v>
      </c>
      <c r="D7" s="627" t="s">
        <v>941</v>
      </c>
      <c r="E7" s="628"/>
      <c r="F7" s="628"/>
      <c r="G7" s="628"/>
      <c r="H7" s="629" t="s">
        <v>786</v>
      </c>
    </row>
    <row r="8" spans="1:11" s="281" customFormat="1" ht="12" customHeight="1" thickBot="1" x14ac:dyDescent="0.25">
      <c r="A8" s="25" t="s">
        <v>446</v>
      </c>
      <c r="B8" s="26" t="s">
        <v>447</v>
      </c>
      <c r="C8" s="630" t="s">
        <v>448</v>
      </c>
      <c r="D8" s="630" t="s">
        <v>498</v>
      </c>
      <c r="E8" s="631"/>
      <c r="F8" s="631"/>
      <c r="G8" s="631"/>
      <c r="H8" s="632" t="s">
        <v>499</v>
      </c>
    </row>
    <row r="9" spans="1:11" s="283" customFormat="1" ht="12" customHeight="1" thickBot="1" x14ac:dyDescent="0.25">
      <c r="A9" s="17" t="s">
        <v>21</v>
      </c>
      <c r="B9" s="18" t="s">
        <v>194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1492762052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99</v>
      </c>
      <c r="B10" s="296" t="s">
        <v>195</v>
      </c>
      <c r="C10" s="1307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100</v>
      </c>
      <c r="B11" s="297" t="s">
        <v>196</v>
      </c>
      <c r="C11" s="1308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246915579</v>
      </c>
      <c r="I11" s="1205">
        <v>235351616</v>
      </c>
      <c r="J11" s="1205"/>
      <c r="K11" s="1205"/>
    </row>
    <row r="12" spans="1:11" s="283" customFormat="1" ht="12" customHeight="1" x14ac:dyDescent="0.2">
      <c r="A12" s="11" t="s">
        <v>101</v>
      </c>
      <c r="B12" s="297" t="s">
        <v>197</v>
      </c>
      <c r="C12" s="1308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815989004</v>
      </c>
      <c r="I12" s="1205">
        <f>132342947+82528441+152850000+191583306+50232560+61299400+1796961+73694436</f>
        <v>746328051</v>
      </c>
      <c r="J12" s="1205"/>
      <c r="K12" s="1205"/>
    </row>
    <row r="13" spans="1:11" s="283" customFormat="1" ht="24" customHeight="1" x14ac:dyDescent="0.2">
      <c r="A13" s="11" t="s">
        <v>996</v>
      </c>
      <c r="B13" s="297" t="s">
        <v>999</v>
      </c>
      <c r="C13" s="1308">
        <v>0</v>
      </c>
      <c r="D13" s="638">
        <v>0</v>
      </c>
      <c r="E13" s="639"/>
      <c r="F13" s="640"/>
      <c r="G13" s="640"/>
      <c r="H13" s="305">
        <f>'1.1.sz.mell. '!C15</f>
        <v>626080962</v>
      </c>
      <c r="I13" s="1205"/>
      <c r="J13" s="1205"/>
      <c r="K13" s="1205"/>
    </row>
    <row r="14" spans="1:11" s="283" customFormat="1" ht="12" customHeight="1" x14ac:dyDescent="0.2">
      <c r="A14" s="11" t="s">
        <v>997</v>
      </c>
      <c r="B14" s="297" t="s">
        <v>1000</v>
      </c>
      <c r="C14" s="1308">
        <v>0</v>
      </c>
      <c r="D14" s="638">
        <v>0</v>
      </c>
      <c r="E14" s="639"/>
      <c r="F14" s="640"/>
      <c r="G14" s="640"/>
      <c r="H14" s="305">
        <f>'1.1.sz.mell. '!C16</f>
        <v>189908042</v>
      </c>
      <c r="I14" s="1205"/>
      <c r="J14" s="1205"/>
      <c r="K14" s="1205"/>
    </row>
    <row r="15" spans="1:11" s="283" customFormat="1" ht="12" customHeight="1" x14ac:dyDescent="0.2">
      <c r="A15" s="11" t="s">
        <v>102</v>
      </c>
      <c r="B15" s="297" t="s">
        <v>198</v>
      </c>
      <c r="C15" s="1308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205">
        <f>4617241+15998620+12622000</f>
        <v>33237861</v>
      </c>
      <c r="J15" s="1205"/>
      <c r="K15" s="1205"/>
    </row>
    <row r="16" spans="1:11" s="283" customFormat="1" ht="12" customHeight="1" x14ac:dyDescent="0.2">
      <c r="A16" s="11" t="s">
        <v>125</v>
      </c>
      <c r="B16" s="455" t="s">
        <v>449</v>
      </c>
      <c r="C16" s="1308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132548276</v>
      </c>
      <c r="I16" s="1205">
        <f>29417493+205313443</f>
        <v>234730936</v>
      </c>
      <c r="J16" s="1205"/>
      <c r="K16" s="1205"/>
    </row>
    <row r="17" spans="1:11" s="283" customFormat="1" ht="12" customHeight="1" thickBot="1" x14ac:dyDescent="0.25">
      <c r="A17" s="13" t="s">
        <v>103</v>
      </c>
      <c r="B17" s="456" t="s">
        <v>450</v>
      </c>
      <c r="C17" s="1309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199</v>
      </c>
      <c r="C18" s="1310">
        <f>SUM(C19:C23)</f>
        <v>215496398</v>
      </c>
      <c r="D18" s="1310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341203773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105</v>
      </c>
      <c r="B19" s="296" t="s">
        <v>200</v>
      </c>
      <c r="C19" s="1308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106</v>
      </c>
      <c r="B20" s="297" t="s">
        <v>201</v>
      </c>
      <c r="C20" s="1308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107</v>
      </c>
      <c r="B21" s="297" t="s">
        <v>369</v>
      </c>
      <c r="C21" s="1308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108</v>
      </c>
      <c r="B22" s="297" t="s">
        <v>370</v>
      </c>
      <c r="C22" s="1308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109</v>
      </c>
      <c r="B23" s="297" t="s">
        <v>202</v>
      </c>
      <c r="C23" s="1308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341203773</v>
      </c>
      <c r="I23" s="1206">
        <f>102792540+24250000+3975280+5670000+67037993</f>
        <v>203725813</v>
      </c>
      <c r="J23" s="1205"/>
      <c r="K23" s="1205">
        <v>22754943</v>
      </c>
    </row>
    <row r="24" spans="1:11" s="283" customFormat="1" ht="12" customHeight="1" thickBot="1" x14ac:dyDescent="0.25">
      <c r="A24" s="13" t="s">
        <v>118</v>
      </c>
      <c r="B24" s="456" t="s">
        <v>203</v>
      </c>
      <c r="C24" s="1309">
        <v>27120913</v>
      </c>
      <c r="D24" s="641">
        <f>44046085</f>
        <v>44046085</v>
      </c>
      <c r="E24" s="646"/>
      <c r="F24" s="647"/>
      <c r="G24" s="647"/>
      <c r="H24" s="476">
        <f>'1.1.sz.mell. '!C26</f>
        <v>202062785</v>
      </c>
      <c r="I24" s="1207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204</v>
      </c>
      <c r="C25" s="1310">
        <f>SUM(C26:C30)</f>
        <v>27196638</v>
      </c>
      <c r="D25" s="1310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312308446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88</v>
      </c>
      <c r="B26" s="296" t="s">
        <v>205</v>
      </c>
      <c r="C26" s="1308">
        <v>19753000</v>
      </c>
      <c r="D26" s="635">
        <v>370138900</v>
      </c>
      <c r="E26" s="648"/>
      <c r="F26" s="649"/>
      <c r="G26" s="649"/>
      <c r="H26" s="475">
        <f>'1.1.sz.mell. '!C28</f>
        <v>34511116</v>
      </c>
      <c r="I26" s="1208"/>
      <c r="J26" s="589"/>
      <c r="K26" s="589"/>
    </row>
    <row r="27" spans="1:11" s="283" customFormat="1" ht="12" customHeight="1" x14ac:dyDescent="0.2">
      <c r="A27" s="11" t="s">
        <v>89</v>
      </c>
      <c r="B27" s="297" t="s">
        <v>206</v>
      </c>
      <c r="C27" s="1308"/>
      <c r="D27" s="650"/>
      <c r="E27" s="639"/>
      <c r="F27" s="640"/>
      <c r="G27" s="640"/>
      <c r="H27" s="478">
        <f>'1.1.sz.mell. '!C29</f>
        <v>0</v>
      </c>
      <c r="I27" s="1206"/>
      <c r="J27" s="1205"/>
      <c r="K27" s="1205"/>
    </row>
    <row r="28" spans="1:11" s="283" customFormat="1" ht="12" customHeight="1" x14ac:dyDescent="0.2">
      <c r="A28" s="11" t="s">
        <v>90</v>
      </c>
      <c r="B28" s="297" t="s">
        <v>371</v>
      </c>
      <c r="C28" s="1308"/>
      <c r="D28" s="638"/>
      <c r="E28" s="639"/>
      <c r="F28" s="640"/>
      <c r="G28" s="640"/>
      <c r="H28" s="305">
        <f>'1.1.sz.mell. '!C30</f>
        <v>0</v>
      </c>
      <c r="I28" s="1206"/>
      <c r="J28" s="1205"/>
      <c r="K28" s="1205"/>
    </row>
    <row r="29" spans="1:11" s="283" customFormat="1" ht="12" customHeight="1" x14ac:dyDescent="0.2">
      <c r="A29" s="11" t="s">
        <v>91</v>
      </c>
      <c r="B29" s="297" t="s">
        <v>372</v>
      </c>
      <c r="C29" s="1308"/>
      <c r="D29" s="638"/>
      <c r="E29" s="639"/>
      <c r="F29" s="640"/>
      <c r="G29" s="640"/>
      <c r="H29" s="305">
        <f>'1.1.sz.mell. '!C31</f>
        <v>0</v>
      </c>
      <c r="I29" s="1206"/>
      <c r="J29" s="1205"/>
      <c r="K29" s="1205"/>
    </row>
    <row r="30" spans="1:11" s="283" customFormat="1" ht="12" customHeight="1" x14ac:dyDescent="0.2">
      <c r="A30" s="11" t="s">
        <v>136</v>
      </c>
      <c r="B30" s="297" t="s">
        <v>207</v>
      </c>
      <c r="C30" s="1308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277797330</v>
      </c>
      <c r="I30" s="1206">
        <f>5596040+25377271+3487179+47949076</f>
        <v>82409566</v>
      </c>
      <c r="J30" s="1205"/>
      <c r="K30" s="1205"/>
    </row>
    <row r="31" spans="1:11" s="283" customFormat="1" ht="12" customHeight="1" thickBot="1" x14ac:dyDescent="0.25">
      <c r="A31" s="13" t="s">
        <v>137</v>
      </c>
      <c r="B31" s="298" t="s">
        <v>208</v>
      </c>
      <c r="C31" s="1309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237747630</v>
      </c>
      <c r="I31" s="1207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138</v>
      </c>
      <c r="B32" s="454" t="s">
        <v>209</v>
      </c>
      <c r="C32" s="1310">
        <f>C33+C36+C37+C38+C39</f>
        <v>401728642</v>
      </c>
      <c r="D32" s="1310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210</v>
      </c>
      <c r="B33" s="296" t="s">
        <v>651</v>
      </c>
      <c r="C33" s="1308">
        <f>SUM(C34:C35)</f>
        <v>361268804</v>
      </c>
      <c r="D33" s="1308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211</v>
      </c>
      <c r="B34" s="297" t="s">
        <v>216</v>
      </c>
      <c r="C34" s="1308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212</v>
      </c>
      <c r="B35" s="672" t="s">
        <v>650</v>
      </c>
      <c r="C35" s="1308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213</v>
      </c>
      <c r="B36" s="297" t="s">
        <v>537</v>
      </c>
      <c r="C36" s="1308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206"/>
      <c r="J36" s="1205"/>
      <c r="K36" s="1205"/>
    </row>
    <row r="37" spans="1:11" s="283" customFormat="1" ht="12" customHeight="1" x14ac:dyDescent="0.2">
      <c r="A37" s="11" t="s">
        <v>538</v>
      </c>
      <c r="B37" s="297" t="s">
        <v>217</v>
      </c>
      <c r="C37" s="1308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215</v>
      </c>
      <c r="B38" s="297" t="s">
        <v>218</v>
      </c>
      <c r="C38" s="1308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539</v>
      </c>
      <c r="B39" s="298" t="s">
        <v>219</v>
      </c>
      <c r="C39" s="1309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207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451</v>
      </c>
      <c r="C40" s="1310">
        <f>SUM(C41:C51)</f>
        <v>393429144</v>
      </c>
      <c r="D40" s="1310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339351277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92</v>
      </c>
      <c r="B41" s="296" t="s">
        <v>222</v>
      </c>
      <c r="C41" s="1308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208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93</v>
      </c>
      <c r="B42" s="297" t="s">
        <v>223</v>
      </c>
      <c r="C42" s="1308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76584425</v>
      </c>
      <c r="I42" s="1206">
        <f>15901900+787402+500000</f>
        <v>17189302</v>
      </c>
      <c r="J42" s="1205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94</v>
      </c>
      <c r="B43" s="297" t="s">
        <v>224</v>
      </c>
      <c r="C43" s="1308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28959469</v>
      </c>
      <c r="I43" s="1206">
        <f>20000+6000000+700000+1000000+1109692</f>
        <v>8829692</v>
      </c>
      <c r="J43" s="1205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140</v>
      </c>
      <c r="B44" s="297" t="s">
        <v>225</v>
      </c>
      <c r="C44" s="1308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206">
        <f>440000+300000</f>
        <v>740000</v>
      </c>
      <c r="J44" s="1205"/>
      <c r="K44" s="231"/>
    </row>
    <row r="45" spans="1:11" s="283" customFormat="1" ht="12" customHeight="1" x14ac:dyDescent="0.2">
      <c r="A45" s="11" t="s">
        <v>141</v>
      </c>
      <c r="B45" s="297" t="s">
        <v>226</v>
      </c>
      <c r="C45" s="1308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190204778</v>
      </c>
      <c r="I45" s="1206"/>
      <c r="J45" s="1205"/>
      <c r="K45" s="231">
        <f>17535396+708995+862330+152500000</f>
        <v>171606721</v>
      </c>
    </row>
    <row r="46" spans="1:11" s="283" customFormat="1" ht="12" customHeight="1" x14ac:dyDescent="0.2">
      <c r="A46" s="11" t="s">
        <v>142</v>
      </c>
      <c r="B46" s="297" t="s">
        <v>227</v>
      </c>
      <c r="C46" s="1308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22140077</v>
      </c>
      <c r="I46" s="1206">
        <f>5400+1993957+12052638+212598+189000+2801434+333450+135000</f>
        <v>17723477</v>
      </c>
      <c r="J46" s="1205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143</v>
      </c>
      <c r="B47" s="297" t="s">
        <v>228</v>
      </c>
      <c r="C47" s="1308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8775000</v>
      </c>
      <c r="I47" s="1206"/>
      <c r="J47" s="1205"/>
      <c r="K47" s="231">
        <f>7614000+650000+169000</f>
        <v>8433000</v>
      </c>
    </row>
    <row r="48" spans="1:11" s="283" customFormat="1" ht="12" customHeight="1" x14ac:dyDescent="0.2">
      <c r="A48" s="11" t="s">
        <v>144</v>
      </c>
      <c r="B48" s="297" t="s">
        <v>551</v>
      </c>
      <c r="C48" s="1308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206"/>
      <c r="J48" s="1205"/>
      <c r="K48" s="231"/>
    </row>
    <row r="49" spans="1:11" s="283" customFormat="1" ht="12" customHeight="1" x14ac:dyDescent="0.2">
      <c r="A49" s="11" t="s">
        <v>220</v>
      </c>
      <c r="B49" s="297" t="s">
        <v>230</v>
      </c>
      <c r="C49" s="1308"/>
      <c r="D49" s="638"/>
      <c r="E49" s="639"/>
      <c r="F49" s="640"/>
      <c r="G49" s="637"/>
      <c r="H49" s="305">
        <f>'1.1.sz.mell. '!C51</f>
        <v>0</v>
      </c>
      <c r="I49" s="1206"/>
      <c r="J49" s="1205"/>
      <c r="K49" s="231"/>
    </row>
    <row r="50" spans="1:11" s="283" customFormat="1" ht="12" customHeight="1" x14ac:dyDescent="0.2">
      <c r="A50" s="13" t="s">
        <v>221</v>
      </c>
      <c r="B50" s="298" t="s">
        <v>452</v>
      </c>
      <c r="C50" s="1308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207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453</v>
      </c>
      <c r="B51" s="456" t="s">
        <v>231</v>
      </c>
      <c r="C51" s="1309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2485392</v>
      </c>
      <c r="I51" s="1207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232</v>
      </c>
      <c r="C52" s="1310">
        <f>SUM(C53:C57)</f>
        <v>9600404</v>
      </c>
      <c r="D52" s="1310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95</v>
      </c>
      <c r="B53" s="296" t="s">
        <v>236</v>
      </c>
      <c r="C53" s="1308"/>
      <c r="D53" s="655"/>
      <c r="E53" s="636"/>
      <c r="F53" s="637"/>
      <c r="G53" s="637"/>
      <c r="H53" s="477">
        <f>'1.1.sz.mell. '!C55</f>
        <v>0</v>
      </c>
      <c r="I53" s="1208"/>
      <c r="J53" s="231"/>
      <c r="K53" s="231"/>
    </row>
    <row r="54" spans="1:11" s="283" customFormat="1" ht="12" customHeight="1" x14ac:dyDescent="0.2">
      <c r="A54" s="11" t="s">
        <v>96</v>
      </c>
      <c r="B54" s="297" t="s">
        <v>237</v>
      </c>
      <c r="C54" s="1308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206">
        <f>21787500</f>
        <v>21787500</v>
      </c>
      <c r="J54" s="1205"/>
      <c r="K54" s="1205"/>
    </row>
    <row r="55" spans="1:11" s="283" customFormat="1" ht="12" customHeight="1" x14ac:dyDescent="0.2">
      <c r="A55" s="11" t="s">
        <v>233</v>
      </c>
      <c r="B55" s="297" t="s">
        <v>238</v>
      </c>
      <c r="C55" s="1308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206"/>
      <c r="J55" s="1205">
        <f>300000</f>
        <v>300000</v>
      </c>
      <c r="K55" s="1205"/>
    </row>
    <row r="56" spans="1:11" s="283" customFormat="1" ht="12" customHeight="1" x14ac:dyDescent="0.2">
      <c r="A56" s="11" t="s">
        <v>234</v>
      </c>
      <c r="B56" s="297" t="s">
        <v>239</v>
      </c>
      <c r="C56" s="1308"/>
      <c r="D56" s="638"/>
      <c r="E56" s="639"/>
      <c r="F56" s="640"/>
      <c r="G56" s="640"/>
      <c r="H56" s="305">
        <f>'1.1.sz.mell. '!C58</f>
        <v>0</v>
      </c>
      <c r="I56" s="1206"/>
      <c r="J56" s="1205"/>
      <c r="K56" s="1205"/>
    </row>
    <row r="57" spans="1:11" s="283" customFormat="1" ht="12" customHeight="1" thickBot="1" x14ac:dyDescent="0.25">
      <c r="A57" s="13" t="s">
        <v>235</v>
      </c>
      <c r="B57" s="456" t="s">
        <v>240</v>
      </c>
      <c r="C57" s="1309"/>
      <c r="D57" s="641">
        <v>145100</v>
      </c>
      <c r="E57" s="646"/>
      <c r="F57" s="647"/>
      <c r="G57" s="647"/>
      <c r="H57" s="479">
        <f>'1.1.sz.mell. '!C59</f>
        <v>0</v>
      </c>
      <c r="I57" s="1207"/>
      <c r="J57" s="182"/>
      <c r="K57" s="182"/>
    </row>
    <row r="58" spans="1:11" s="283" customFormat="1" ht="12" customHeight="1" thickBot="1" x14ac:dyDescent="0.25">
      <c r="A58" s="17" t="s">
        <v>145</v>
      </c>
      <c r="B58" s="454" t="s">
        <v>241</v>
      </c>
      <c r="C58" s="1310">
        <f>SUM(C59:C61)</f>
        <v>4421313</v>
      </c>
      <c r="D58" s="1310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97</v>
      </c>
      <c r="B59" s="296" t="s">
        <v>242</v>
      </c>
      <c r="C59" s="1308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98</v>
      </c>
      <c r="B60" s="297" t="s">
        <v>373</v>
      </c>
      <c r="C60" s="1308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206">
        <f>480000</f>
        <v>480000</v>
      </c>
      <c r="J60" s="1205"/>
      <c r="K60" s="1205"/>
    </row>
    <row r="61" spans="1:11" s="283" customFormat="1" ht="12" customHeight="1" x14ac:dyDescent="0.2">
      <c r="A61" s="11" t="s">
        <v>245</v>
      </c>
      <c r="B61" s="297" t="s">
        <v>243</v>
      </c>
      <c r="C61" s="1308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206">
        <f>950000</f>
        <v>950000</v>
      </c>
      <c r="J61" s="1205"/>
      <c r="K61" s="1205"/>
    </row>
    <row r="62" spans="1:11" s="283" customFormat="1" ht="12" customHeight="1" thickBot="1" x14ac:dyDescent="0.25">
      <c r="A62" s="13" t="s">
        <v>246</v>
      </c>
      <c r="B62" s="456" t="s">
        <v>244</v>
      </c>
      <c r="C62" s="1309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247</v>
      </c>
      <c r="C63" s="1310">
        <f>SUM(C64:C66)</f>
        <v>20000</v>
      </c>
      <c r="D63" s="1310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146</v>
      </c>
      <c r="B64" s="296" t="s">
        <v>249</v>
      </c>
      <c r="C64" s="1308"/>
      <c r="D64" s="655"/>
      <c r="E64" s="639"/>
      <c r="F64" s="640"/>
      <c r="G64" s="640"/>
      <c r="H64" s="477">
        <f>'1.1.sz.mell. '!C66</f>
        <v>0</v>
      </c>
      <c r="I64" s="1206"/>
      <c r="J64" s="1205"/>
      <c r="K64" s="1205"/>
    </row>
    <row r="65" spans="1:11" s="283" customFormat="1" ht="12" customHeight="1" x14ac:dyDescent="0.2">
      <c r="A65" s="11" t="s">
        <v>147</v>
      </c>
      <c r="B65" s="297" t="s">
        <v>374</v>
      </c>
      <c r="C65" s="1308"/>
      <c r="D65" s="650"/>
      <c r="E65" s="639"/>
      <c r="F65" s="640"/>
      <c r="G65" s="640"/>
      <c r="H65" s="478">
        <f>'1.1.sz.mell. '!C67</f>
        <v>0</v>
      </c>
      <c r="I65" s="1206"/>
      <c r="J65" s="1205"/>
      <c r="K65" s="1205"/>
    </row>
    <row r="66" spans="1:11" s="283" customFormat="1" ht="12" customHeight="1" x14ac:dyDescent="0.2">
      <c r="A66" s="11" t="s">
        <v>173</v>
      </c>
      <c r="B66" s="297" t="s">
        <v>250</v>
      </c>
      <c r="C66" s="1308">
        <v>20000</v>
      </c>
      <c r="D66" s="650"/>
      <c r="E66" s="639"/>
      <c r="F66" s="640"/>
      <c r="G66" s="640"/>
      <c r="H66" s="478">
        <f>'1.1.sz.mell. '!C68</f>
        <v>6000000</v>
      </c>
      <c r="I66" s="1206"/>
      <c r="J66" s="1205"/>
      <c r="K66" s="1205"/>
    </row>
    <row r="67" spans="1:11" s="283" customFormat="1" ht="12" customHeight="1" thickBot="1" x14ac:dyDescent="0.25">
      <c r="A67" s="13" t="s">
        <v>248</v>
      </c>
      <c r="B67" s="456" t="s">
        <v>251</v>
      </c>
      <c r="C67" s="1309"/>
      <c r="D67" s="656"/>
      <c r="E67" s="639"/>
      <c r="F67" s="640"/>
      <c r="G67" s="640"/>
      <c r="H67" s="479">
        <f>'1.1.sz.mell. '!C69</f>
        <v>6000000</v>
      </c>
      <c r="I67" s="1206"/>
      <c r="J67" s="1205"/>
      <c r="K67" s="1205"/>
    </row>
    <row r="68" spans="1:11" s="283" customFormat="1" ht="12" customHeight="1" thickBot="1" x14ac:dyDescent="0.25">
      <c r="A68" s="252" t="s">
        <v>454</v>
      </c>
      <c r="B68" s="454" t="s">
        <v>252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3041769131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253</v>
      </c>
      <c r="B69" s="457" t="s">
        <v>552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733570614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285</v>
      </c>
      <c r="B70" s="296" t="s">
        <v>255</v>
      </c>
      <c r="C70" s="1308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206">
        <f>69269106</f>
        <v>69269106</v>
      </c>
      <c r="J70" s="1205"/>
      <c r="K70" s="1205"/>
    </row>
    <row r="71" spans="1:11" s="283" customFormat="1" ht="12" customHeight="1" x14ac:dyDescent="0.2">
      <c r="A71" s="11" t="s">
        <v>294</v>
      </c>
      <c r="B71" s="297" t="s">
        <v>256</v>
      </c>
      <c r="C71" s="1308"/>
      <c r="D71" s="638"/>
      <c r="E71" s="639">
        <v>100000000</v>
      </c>
      <c r="F71" s="640"/>
      <c r="G71" s="640"/>
      <c r="H71" s="305">
        <f>'1.1.sz.mell. '!C73</f>
        <v>700000000</v>
      </c>
      <c r="I71" s="1206">
        <v>100000000</v>
      </c>
      <c r="J71" s="1205"/>
      <c r="K71" s="1205"/>
    </row>
    <row r="72" spans="1:11" s="283" customFormat="1" ht="12" customHeight="1" thickBot="1" x14ac:dyDescent="0.25">
      <c r="A72" s="13" t="s">
        <v>295</v>
      </c>
      <c r="B72" s="458" t="s">
        <v>455</v>
      </c>
      <c r="C72" s="1309"/>
      <c r="D72" s="656"/>
      <c r="E72" s="639"/>
      <c r="F72" s="640"/>
      <c r="G72" s="640"/>
      <c r="H72" s="479">
        <f>'1.1.sz.mell. '!C74</f>
        <v>0</v>
      </c>
      <c r="I72" s="1206"/>
      <c r="J72" s="1205"/>
      <c r="K72" s="1205"/>
    </row>
    <row r="73" spans="1:11" s="283" customFormat="1" ht="12" customHeight="1" thickBot="1" x14ac:dyDescent="0.25">
      <c r="A73" s="253" t="s">
        <v>258</v>
      </c>
      <c r="B73" s="457" t="s">
        <v>259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126</v>
      </c>
      <c r="B74" s="296" t="s">
        <v>260</v>
      </c>
      <c r="C74" s="1308"/>
      <c r="D74" s="655"/>
      <c r="E74" s="639"/>
      <c r="F74" s="640"/>
      <c r="G74" s="640"/>
      <c r="H74" s="477">
        <f>'1.1.sz.mell. '!C76</f>
        <v>0</v>
      </c>
      <c r="I74" s="1206"/>
      <c r="J74" s="1205"/>
      <c r="K74" s="1205"/>
    </row>
    <row r="75" spans="1:11" s="283" customFormat="1" ht="17.25" customHeight="1" x14ac:dyDescent="0.2">
      <c r="A75" s="11" t="s">
        <v>127</v>
      </c>
      <c r="B75" s="297" t="s">
        <v>261</v>
      </c>
      <c r="C75" s="1308"/>
      <c r="D75" s="650"/>
      <c r="E75" s="639"/>
      <c r="F75" s="640"/>
      <c r="G75" s="640"/>
      <c r="H75" s="478">
        <f>'1.1.sz.mell. '!C77</f>
        <v>0</v>
      </c>
      <c r="I75" s="1206"/>
      <c r="J75" s="1205"/>
      <c r="K75" s="1205"/>
    </row>
    <row r="76" spans="1:11" s="283" customFormat="1" ht="12" customHeight="1" x14ac:dyDescent="0.2">
      <c r="A76" s="11" t="s">
        <v>286</v>
      </c>
      <c r="B76" s="297" t="s">
        <v>262</v>
      </c>
      <c r="C76" s="1308"/>
      <c r="D76" s="650"/>
      <c r="E76" s="639"/>
      <c r="F76" s="640"/>
      <c r="G76" s="640"/>
      <c r="H76" s="478">
        <f>'1.1.sz.mell. '!C78</f>
        <v>0</v>
      </c>
      <c r="I76" s="1206"/>
      <c r="J76" s="1205"/>
      <c r="K76" s="1205"/>
    </row>
    <row r="77" spans="1:11" s="283" customFormat="1" ht="12" customHeight="1" thickBot="1" x14ac:dyDescent="0.25">
      <c r="A77" s="13" t="s">
        <v>287</v>
      </c>
      <c r="B77" s="456" t="s">
        <v>263</v>
      </c>
      <c r="C77" s="1309"/>
      <c r="D77" s="656"/>
      <c r="E77" s="639"/>
      <c r="F77" s="640"/>
      <c r="G77" s="640"/>
      <c r="H77" s="479">
        <f>'1.1.sz.mell. '!C79</f>
        <v>0</v>
      </c>
      <c r="I77" s="1206"/>
      <c r="J77" s="1205"/>
      <c r="K77" s="1205"/>
    </row>
    <row r="78" spans="1:11" s="283" customFormat="1" ht="12" customHeight="1" thickBot="1" x14ac:dyDescent="0.25">
      <c r="A78" s="253" t="s">
        <v>264</v>
      </c>
      <c r="B78" s="457" t="s">
        <v>265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288</v>
      </c>
      <c r="B79" s="296" t="s">
        <v>266</v>
      </c>
      <c r="C79" s="1308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206">
        <f>346583469</f>
        <v>346583469</v>
      </c>
      <c r="J79" s="1205">
        <f>829764</f>
        <v>829764</v>
      </c>
      <c r="K79" s="1205">
        <f>1550858+372804+435258+1054835+13840612</f>
        <v>17254367</v>
      </c>
    </row>
    <row r="80" spans="1:11" s="283" customFormat="1" ht="12" customHeight="1" thickBot="1" x14ac:dyDescent="0.25">
      <c r="A80" s="13" t="s">
        <v>289</v>
      </c>
      <c r="B80" s="456" t="s">
        <v>267</v>
      </c>
      <c r="C80" s="1309"/>
      <c r="D80" s="656"/>
      <c r="E80" s="639"/>
      <c r="F80" s="640"/>
      <c r="G80" s="640"/>
      <c r="H80" s="479">
        <f>'1.1.sz.mell. '!C82</f>
        <v>0</v>
      </c>
      <c r="I80" s="1206"/>
      <c r="J80" s="1205"/>
      <c r="K80" s="1205"/>
    </row>
    <row r="81" spans="1:11" s="283" customFormat="1" ht="12" customHeight="1" thickBot="1" x14ac:dyDescent="0.25">
      <c r="A81" s="253" t="s">
        <v>268</v>
      </c>
      <c r="B81" s="457" t="s">
        <v>269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290</v>
      </c>
      <c r="B82" s="296" t="s">
        <v>270</v>
      </c>
      <c r="C82" s="1308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206"/>
      <c r="J82" s="1205"/>
      <c r="K82" s="1205"/>
    </row>
    <row r="83" spans="1:11" s="283" customFormat="1" ht="12" customHeight="1" x14ac:dyDescent="0.2">
      <c r="A83" s="11" t="s">
        <v>291</v>
      </c>
      <c r="B83" s="297" t="s">
        <v>271</v>
      </c>
      <c r="C83" s="1308"/>
      <c r="D83" s="650"/>
      <c r="E83" s="639"/>
      <c r="F83" s="640"/>
      <c r="G83" s="640"/>
      <c r="H83" s="478">
        <f>'1.1.sz.mell. '!C85</f>
        <v>0</v>
      </c>
      <c r="I83" s="1206"/>
      <c r="J83" s="1205"/>
      <c r="K83" s="1205"/>
    </row>
    <row r="84" spans="1:11" s="283" customFormat="1" ht="12" customHeight="1" thickBot="1" x14ac:dyDescent="0.25">
      <c r="A84" s="13" t="s">
        <v>292</v>
      </c>
      <c r="B84" s="456" t="s">
        <v>272</v>
      </c>
      <c r="C84" s="1309"/>
      <c r="D84" s="656"/>
      <c r="E84" s="639"/>
      <c r="F84" s="640"/>
      <c r="G84" s="640"/>
      <c r="H84" s="479">
        <f>'1.1.sz.mell. '!C86</f>
        <v>0</v>
      </c>
      <c r="I84" s="1206"/>
      <c r="J84" s="1205"/>
      <c r="K84" s="1205"/>
    </row>
    <row r="85" spans="1:11" s="283" customFormat="1" ht="12" customHeight="1" thickBot="1" x14ac:dyDescent="0.25">
      <c r="A85" s="253" t="s">
        <v>273</v>
      </c>
      <c r="B85" s="457" t="s">
        <v>293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274</v>
      </c>
      <c r="B86" s="296" t="s">
        <v>275</v>
      </c>
      <c r="C86" s="1308"/>
      <c r="D86" s="655"/>
      <c r="E86" s="639"/>
      <c r="F86" s="640"/>
      <c r="G86" s="640"/>
      <c r="H86" s="477">
        <f>'1.1.sz.mell. '!C88</f>
        <v>0</v>
      </c>
      <c r="I86" s="1206"/>
      <c r="J86" s="1205"/>
      <c r="K86" s="1205"/>
    </row>
    <row r="87" spans="1:11" s="283" customFormat="1" ht="12" customHeight="1" x14ac:dyDescent="0.2">
      <c r="A87" s="198" t="s">
        <v>276</v>
      </c>
      <c r="B87" s="297" t="s">
        <v>277</v>
      </c>
      <c r="C87" s="1308"/>
      <c r="D87" s="650"/>
      <c r="E87" s="639"/>
      <c r="F87" s="640"/>
      <c r="G87" s="640"/>
      <c r="H87" s="478">
        <f>'1.1.sz.mell. '!C89</f>
        <v>0</v>
      </c>
      <c r="I87" s="1206"/>
      <c r="J87" s="1205"/>
      <c r="K87" s="1205"/>
    </row>
    <row r="88" spans="1:11" s="283" customFormat="1" ht="12" customHeight="1" x14ac:dyDescent="0.2">
      <c r="A88" s="198" t="s">
        <v>278</v>
      </c>
      <c r="B88" s="297" t="s">
        <v>279</v>
      </c>
      <c r="C88" s="1308"/>
      <c r="D88" s="650"/>
      <c r="E88" s="639"/>
      <c r="F88" s="640"/>
      <c r="G88" s="640"/>
      <c r="H88" s="478">
        <f>'1.1.sz.mell. '!C90</f>
        <v>0</v>
      </c>
      <c r="I88" s="1206"/>
      <c r="J88" s="1205"/>
      <c r="K88" s="1205"/>
    </row>
    <row r="89" spans="1:11" s="283" customFormat="1" ht="12" customHeight="1" thickBot="1" x14ac:dyDescent="0.25">
      <c r="A89" s="199" t="s">
        <v>280</v>
      </c>
      <c r="B89" s="456" t="s">
        <v>281</v>
      </c>
      <c r="C89" s="1309"/>
      <c r="D89" s="656"/>
      <c r="E89" s="639"/>
      <c r="F89" s="640"/>
      <c r="G89" s="640"/>
      <c r="H89" s="479">
        <f>'1.1.sz.mell. '!C91</f>
        <v>0</v>
      </c>
      <c r="I89" s="1206"/>
      <c r="J89" s="1205"/>
      <c r="K89" s="1205"/>
    </row>
    <row r="90" spans="1:11" s="283" customFormat="1" ht="12" customHeight="1" thickBot="1" x14ac:dyDescent="0.25">
      <c r="A90" s="253" t="s">
        <v>282</v>
      </c>
      <c r="B90" s="457" t="s">
        <v>456</v>
      </c>
      <c r="C90" s="1311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284</v>
      </c>
      <c r="B91" s="457" t="s">
        <v>283</v>
      </c>
      <c r="C91" s="1311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296</v>
      </c>
      <c r="B92" s="459" t="s">
        <v>457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1743878152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458</v>
      </c>
      <c r="B93" s="460" t="s">
        <v>459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4785647283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57" t="s">
        <v>49</v>
      </c>
      <c r="B95" s="1457"/>
      <c r="C95" s="1457"/>
      <c r="D95" s="1457"/>
      <c r="E95" s="1457"/>
      <c r="F95" s="1457"/>
      <c r="G95" s="1457"/>
      <c r="H95" s="1457"/>
    </row>
    <row r="96" spans="1:11" s="283" customFormat="1" ht="12" customHeight="1" thickBot="1" x14ac:dyDescent="0.25">
      <c r="A96" s="1458" t="s">
        <v>129</v>
      </c>
      <c r="B96" s="1458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446</v>
      </c>
      <c r="B98" s="306" t="s">
        <v>447</v>
      </c>
      <c r="C98" s="657" t="s">
        <v>448</v>
      </c>
      <c r="D98" s="670" t="s">
        <v>498</v>
      </c>
      <c r="E98" s="631"/>
      <c r="F98" s="631"/>
      <c r="G98" s="631"/>
      <c r="H98" s="632" t="s">
        <v>499</v>
      </c>
    </row>
    <row r="99" spans="1:11" s="283" customFormat="1" ht="15" customHeight="1" thickBot="1" x14ac:dyDescent="0.25">
      <c r="A99" s="19" t="s">
        <v>21</v>
      </c>
      <c r="B99" s="461" t="s">
        <v>497</v>
      </c>
      <c r="C99" s="1312">
        <f>SUM(C100:C104,C117)</f>
        <v>2137354184</v>
      </c>
      <c r="D99" s="1312">
        <f>SUM(D100:D104,D117)</f>
        <v>2286219244</v>
      </c>
      <c r="E99" s="1313"/>
      <c r="F99" s="1314"/>
      <c r="G99" s="1312"/>
      <c r="H99" s="311">
        <f>'1.1.sz.mell. '!C101</f>
        <v>2801710394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99</v>
      </c>
      <c r="B100" s="462" t="s">
        <v>51</v>
      </c>
      <c r="C100" s="1315">
        <v>954601761</v>
      </c>
      <c r="D100" s="1316">
        <v>1036807081</v>
      </c>
      <c r="E100" s="1317"/>
      <c r="F100" s="1318"/>
      <c r="G100" s="1318"/>
      <c r="H100" s="430">
        <f>'1.1.sz.mell. '!C102</f>
        <v>1217602544</v>
      </c>
      <c r="I100" s="1209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100</v>
      </c>
      <c r="B101" s="463" t="s">
        <v>148</v>
      </c>
      <c r="C101" s="1319">
        <v>198202661</v>
      </c>
      <c r="D101" s="1320">
        <v>207856870</v>
      </c>
      <c r="E101" s="1321"/>
      <c r="F101" s="1322"/>
      <c r="G101" s="1322"/>
      <c r="H101" s="430">
        <f>'1.1.sz.mell. '!C103</f>
        <v>229344560</v>
      </c>
      <c r="I101" s="1206">
        <f>4364055+1409889+7817+2684650+14227+10944+444000+1007723</f>
        <v>9943305</v>
      </c>
      <c r="J101" s="1205">
        <f>30406649+133681+815187</f>
        <v>31355517</v>
      </c>
      <c r="K101" s="1205">
        <f>13261042+12834203+9499320+44850807+98130166</f>
        <v>178575538</v>
      </c>
    </row>
    <row r="102" spans="1:11" x14ac:dyDescent="0.25">
      <c r="A102" s="11" t="s">
        <v>101</v>
      </c>
      <c r="B102" s="463" t="s">
        <v>124</v>
      </c>
      <c r="C102" s="1323">
        <v>759722479</v>
      </c>
      <c r="D102" s="1320">
        <v>803850676</v>
      </c>
      <c r="E102" s="1324"/>
      <c r="F102" s="1325"/>
      <c r="G102" s="1322"/>
      <c r="H102" s="430">
        <f>'1.1.sz.mell. '!C104</f>
        <v>936651720</v>
      </c>
      <c r="I102" s="1207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05">
        <f>229985778+15749737+50789082+80145873+198957271</f>
        <v>575627741</v>
      </c>
    </row>
    <row r="103" spans="1:11" s="281" customFormat="1" ht="12" customHeight="1" x14ac:dyDescent="0.2">
      <c r="A103" s="11" t="s">
        <v>102</v>
      </c>
      <c r="B103" s="466" t="s">
        <v>149</v>
      </c>
      <c r="C103" s="1319">
        <v>67052084</v>
      </c>
      <c r="D103" s="1320">
        <v>47275053</v>
      </c>
      <c r="E103" s="1324"/>
      <c r="F103" s="1325"/>
      <c r="G103" s="1325"/>
      <c r="H103" s="430">
        <f>'1.1.sz.mell. '!C105</f>
        <v>61300000</v>
      </c>
      <c r="I103" s="1207">
        <f>24250000+48100000+3500000</f>
        <v>75850000</v>
      </c>
      <c r="J103" s="182"/>
      <c r="K103" s="182"/>
    </row>
    <row r="104" spans="1:11" ht="12" customHeight="1" x14ac:dyDescent="0.25">
      <c r="A104" s="11" t="s">
        <v>113</v>
      </c>
      <c r="B104" s="16" t="s">
        <v>150</v>
      </c>
      <c r="C104" s="1319">
        <f>SUM(C105:C116)</f>
        <v>157775199</v>
      </c>
      <c r="D104" s="1319">
        <f>SUM(D105:D116)</f>
        <v>190429564</v>
      </c>
      <c r="E104" s="1319">
        <f>SUM(E105:E116)</f>
        <v>0</v>
      </c>
      <c r="F104" s="1319">
        <f>SUM(F105:F116)</f>
        <v>0</v>
      </c>
      <c r="G104" s="1319">
        <f>SUM(G105:G116)</f>
        <v>0</v>
      </c>
      <c r="H104" s="1319">
        <f>'1.1.sz.mell. '!C106</f>
        <v>214672293</v>
      </c>
      <c r="I104" s="1207">
        <f>SUM(I105:I116)</f>
        <v>219979003</v>
      </c>
      <c r="J104" s="1207">
        <f>SUM(J105:J116)</f>
        <v>0</v>
      </c>
      <c r="K104" s="182"/>
    </row>
    <row r="105" spans="1:11" ht="12" customHeight="1" x14ac:dyDescent="0.25">
      <c r="A105" s="11" t="s">
        <v>103</v>
      </c>
      <c r="B105" s="463" t="s">
        <v>460</v>
      </c>
      <c r="C105" s="1323">
        <v>5090844</v>
      </c>
      <c r="D105" s="1320">
        <v>9463052</v>
      </c>
      <c r="E105" s="1324"/>
      <c r="F105" s="1325"/>
      <c r="G105" s="1325"/>
      <c r="H105" s="430">
        <f>'1.1.sz.mell. '!C107</f>
        <v>794676</v>
      </c>
      <c r="I105" s="1207">
        <v>100000</v>
      </c>
      <c r="J105" s="182"/>
      <c r="K105" s="182"/>
    </row>
    <row r="106" spans="1:11" ht="12" customHeight="1" x14ac:dyDescent="0.25">
      <c r="A106" s="11" t="s">
        <v>104</v>
      </c>
      <c r="B106" s="465" t="s">
        <v>461</v>
      </c>
      <c r="C106" s="1323"/>
      <c r="D106" s="1320"/>
      <c r="E106" s="1324"/>
      <c r="F106" s="1325"/>
      <c r="G106" s="1325"/>
      <c r="H106" s="430">
        <f>'1.1.sz.mell. '!C108</f>
        <v>0</v>
      </c>
      <c r="I106" s="1207"/>
      <c r="J106" s="182"/>
      <c r="K106" s="182"/>
    </row>
    <row r="107" spans="1:11" ht="12" customHeight="1" x14ac:dyDescent="0.25">
      <c r="A107" s="11" t="s">
        <v>114</v>
      </c>
      <c r="B107" s="465" t="s">
        <v>462</v>
      </c>
      <c r="C107" s="1323">
        <v>159000</v>
      </c>
      <c r="D107" s="1320"/>
      <c r="E107" s="1324"/>
      <c r="F107" s="1325"/>
      <c r="G107" s="1325"/>
      <c r="H107" s="430">
        <f>'1.1.sz.mell. '!C109</f>
        <v>0</v>
      </c>
      <c r="I107" s="1207"/>
      <c r="J107" s="182"/>
      <c r="K107" s="182"/>
    </row>
    <row r="108" spans="1:11" ht="12" customHeight="1" x14ac:dyDescent="0.25">
      <c r="A108" s="11" t="s">
        <v>115</v>
      </c>
      <c r="B108" s="474" t="s">
        <v>299</v>
      </c>
      <c r="C108" s="1326"/>
      <c r="D108" s="1320"/>
      <c r="E108" s="1324"/>
      <c r="F108" s="1325"/>
      <c r="G108" s="1325"/>
      <c r="H108" s="430">
        <f>'1.1.sz.mell. '!C110</f>
        <v>0</v>
      </c>
      <c r="I108" s="1207"/>
      <c r="J108" s="182"/>
      <c r="K108" s="182"/>
    </row>
    <row r="109" spans="1:11" ht="12" customHeight="1" x14ac:dyDescent="0.25">
      <c r="A109" s="11" t="s">
        <v>116</v>
      </c>
      <c r="B109" s="471" t="s">
        <v>300</v>
      </c>
      <c r="C109" s="1323"/>
      <c r="D109" s="1320"/>
      <c r="E109" s="1324"/>
      <c r="F109" s="1325"/>
      <c r="G109" s="1325"/>
      <c r="H109" s="430">
        <f>'1.1.sz.mell. '!C111</f>
        <v>0</v>
      </c>
      <c r="I109" s="1207"/>
      <c r="J109" s="182"/>
      <c r="K109" s="182"/>
    </row>
    <row r="110" spans="1:11" ht="12" customHeight="1" x14ac:dyDescent="0.25">
      <c r="A110" s="11" t="s">
        <v>117</v>
      </c>
      <c r="B110" s="471" t="s">
        <v>301</v>
      </c>
      <c r="C110" s="1323"/>
      <c r="D110" s="1320"/>
      <c r="E110" s="1324"/>
      <c r="F110" s="1325"/>
      <c r="G110" s="1325"/>
      <c r="H110" s="430">
        <f>'1.1.sz.mell. '!C112</f>
        <v>0</v>
      </c>
      <c r="I110" s="1207"/>
      <c r="J110" s="182"/>
      <c r="K110" s="182"/>
    </row>
    <row r="111" spans="1:11" ht="12" customHeight="1" x14ac:dyDescent="0.25">
      <c r="A111" s="11" t="s">
        <v>119</v>
      </c>
      <c r="B111" s="474" t="s">
        <v>302</v>
      </c>
      <c r="C111" s="1327">
        <v>746500</v>
      </c>
      <c r="D111" s="1320">
        <v>4012934</v>
      </c>
      <c r="E111" s="1324"/>
      <c r="F111" s="1325"/>
      <c r="G111" s="1325"/>
      <c r="H111" s="430">
        <f>'1.1.sz.mell. '!C113</f>
        <v>1461000</v>
      </c>
      <c r="I111" s="1207">
        <f>523000</f>
        <v>523000</v>
      </c>
      <c r="J111" s="182"/>
      <c r="K111" s="182"/>
    </row>
    <row r="112" spans="1:11" ht="12" customHeight="1" x14ac:dyDescent="0.25">
      <c r="A112" s="11" t="s">
        <v>151</v>
      </c>
      <c r="B112" s="474" t="s">
        <v>303</v>
      </c>
      <c r="C112" s="1326"/>
      <c r="D112" s="1320"/>
      <c r="E112" s="1324"/>
      <c r="F112" s="1325"/>
      <c r="G112" s="1325"/>
      <c r="H112" s="430">
        <f>'1.1.sz.mell. '!C114</f>
        <v>0</v>
      </c>
      <c r="I112" s="1207"/>
      <c r="J112" s="182"/>
      <c r="K112" s="182"/>
    </row>
    <row r="113" spans="1:11" ht="12" customHeight="1" x14ac:dyDescent="0.25">
      <c r="A113" s="11" t="s">
        <v>297</v>
      </c>
      <c r="B113" s="471" t="s">
        <v>304</v>
      </c>
      <c r="C113" s="1327"/>
      <c r="D113" s="1320">
        <v>15400000</v>
      </c>
      <c r="E113" s="1324"/>
      <c r="F113" s="1325"/>
      <c r="G113" s="1325"/>
      <c r="H113" s="430">
        <f>'1.1.sz.mell. '!C115</f>
        <v>0</v>
      </c>
      <c r="I113" s="1207"/>
      <c r="J113" s="182"/>
      <c r="K113" s="182"/>
    </row>
    <row r="114" spans="1:11" ht="12" customHeight="1" x14ac:dyDescent="0.25">
      <c r="A114" s="10" t="s">
        <v>298</v>
      </c>
      <c r="B114" s="465" t="s">
        <v>305</v>
      </c>
      <c r="C114" s="1327"/>
      <c r="D114" s="1320"/>
      <c r="E114" s="1324"/>
      <c r="F114" s="1325"/>
      <c r="G114" s="1325"/>
      <c r="H114" s="430">
        <f>'1.1.sz.mell. '!C116</f>
        <v>0</v>
      </c>
      <c r="I114" s="1207"/>
      <c r="J114" s="182"/>
      <c r="K114" s="182"/>
    </row>
    <row r="115" spans="1:11" ht="12" customHeight="1" x14ac:dyDescent="0.25">
      <c r="A115" s="11" t="s">
        <v>463</v>
      </c>
      <c r="B115" s="465" t="s">
        <v>306</v>
      </c>
      <c r="C115" s="1327"/>
      <c r="D115" s="1320"/>
      <c r="E115" s="1324"/>
      <c r="F115" s="1325"/>
      <c r="G115" s="1325"/>
      <c r="H115" s="430">
        <f>'1.1.sz.mell. '!C117</f>
        <v>0</v>
      </c>
      <c r="I115" s="1207"/>
      <c r="J115" s="182"/>
      <c r="K115" s="182"/>
    </row>
    <row r="116" spans="1:11" ht="12" customHeight="1" x14ac:dyDescent="0.25">
      <c r="A116" s="13" t="s">
        <v>464</v>
      </c>
      <c r="B116" s="465" t="s">
        <v>307</v>
      </c>
      <c r="C116" s="1327">
        <v>151778855</v>
      </c>
      <c r="D116" s="1320">
        <v>161553578</v>
      </c>
      <c r="E116" s="1321"/>
      <c r="F116" s="1322"/>
      <c r="G116" s="1325"/>
      <c r="H116" s="430">
        <f>'1.1.sz.mell. '!C118</f>
        <v>212416617</v>
      </c>
      <c r="I116" s="1206">
        <f>1000000+47869145+6604733+15489215+46984511+23326783+69312000+7332000+1437616</f>
        <v>219356003</v>
      </c>
      <c r="J116" s="1205"/>
      <c r="K116" s="182"/>
    </row>
    <row r="117" spans="1:11" ht="12" customHeight="1" x14ac:dyDescent="0.25">
      <c r="A117" s="11" t="s">
        <v>465</v>
      </c>
      <c r="B117" s="466" t="s">
        <v>52</v>
      </c>
      <c r="C117" s="1328"/>
      <c r="D117" s="1320"/>
      <c r="E117" s="1321"/>
      <c r="F117" s="1322"/>
      <c r="G117" s="1322"/>
      <c r="H117" s="430">
        <f>'1.1.sz.mell. '!C119</f>
        <v>142139277</v>
      </c>
      <c r="I117" s="1206">
        <f>SUM(I118:I119)</f>
        <v>78390965</v>
      </c>
      <c r="J117" s="1206">
        <f>SUM(J118:J119)</f>
        <v>0</v>
      </c>
      <c r="K117" s="1205"/>
    </row>
    <row r="118" spans="1:11" ht="12" customHeight="1" x14ac:dyDescent="0.25">
      <c r="A118" s="11" t="s">
        <v>466</v>
      </c>
      <c r="B118" s="463" t="s">
        <v>467</v>
      </c>
      <c r="C118" s="1329"/>
      <c r="D118" s="1320"/>
      <c r="E118" s="1324"/>
      <c r="F118" s="1325"/>
      <c r="G118" s="1322"/>
      <c r="H118" s="430">
        <f>'1.1.sz.mell. '!C120</f>
        <v>47365869</v>
      </c>
      <c r="I118" s="1207">
        <v>15000000</v>
      </c>
      <c r="J118" s="182"/>
      <c r="K118" s="1205"/>
    </row>
    <row r="119" spans="1:11" ht="12" customHeight="1" thickBot="1" x14ac:dyDescent="0.3">
      <c r="A119" s="15" t="s">
        <v>468</v>
      </c>
      <c r="B119" s="467" t="s">
        <v>469</v>
      </c>
      <c r="C119" s="1330"/>
      <c r="D119" s="1331"/>
      <c r="E119" s="1332"/>
      <c r="F119" s="1333"/>
      <c r="G119" s="1333"/>
      <c r="H119" s="430">
        <f>'1.1.sz.mell. '!C121</f>
        <v>94773408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308</v>
      </c>
      <c r="C120" s="1312">
        <f>C121+C123+C125</f>
        <v>397118900</v>
      </c>
      <c r="D120" s="1312">
        <f>D121+D123+D125</f>
        <v>478464804</v>
      </c>
      <c r="E120" s="1334"/>
      <c r="F120" s="1335"/>
      <c r="G120" s="1336"/>
      <c r="H120" s="435">
        <f>'1.1.sz.mell. '!C122</f>
        <v>1212226201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105</v>
      </c>
      <c r="B121" s="463" t="s">
        <v>172</v>
      </c>
      <c r="C121" s="1337">
        <v>117395559</v>
      </c>
      <c r="D121" s="1316">
        <v>211704361</v>
      </c>
      <c r="E121" s="1338"/>
      <c r="F121" s="1339"/>
      <c r="G121" s="1339"/>
      <c r="H121" s="430">
        <f>'1.1.sz.mell. '!C123</f>
        <v>675620518</v>
      </c>
      <c r="I121" s="1208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106</v>
      </c>
      <c r="B122" s="464" t="s">
        <v>312</v>
      </c>
      <c r="C122" s="1340"/>
      <c r="D122" s="1320"/>
      <c r="E122" s="1338"/>
      <c r="F122" s="1339"/>
      <c r="G122" s="1339"/>
      <c r="H122" s="430">
        <f>'1.1.sz.mell. '!C124</f>
        <v>577527057</v>
      </c>
      <c r="I122" s="1208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107</v>
      </c>
      <c r="B123" s="464" t="s">
        <v>152</v>
      </c>
      <c r="C123" s="1327">
        <v>234332492</v>
      </c>
      <c r="D123" s="1320">
        <v>259516521</v>
      </c>
      <c r="E123" s="1321"/>
      <c r="F123" s="1322"/>
      <c r="G123" s="1322"/>
      <c r="H123" s="430">
        <f>'1.1.sz.mell. '!C125</f>
        <v>529726963</v>
      </c>
      <c r="I123" s="1206">
        <f>9517731+51474577+42450993+1905000</f>
        <v>105348301</v>
      </c>
      <c r="J123" s="1205"/>
      <c r="K123" s="1205">
        <v>965200</v>
      </c>
    </row>
    <row r="124" spans="1:11" ht="12" customHeight="1" x14ac:dyDescent="0.25">
      <c r="A124" s="12" t="s">
        <v>108</v>
      </c>
      <c r="B124" s="464" t="s">
        <v>313</v>
      </c>
      <c r="C124" s="1341"/>
      <c r="D124" s="1320"/>
      <c r="E124" s="1321"/>
      <c r="F124" s="1342"/>
      <c r="G124" s="1321"/>
      <c r="H124" s="430">
        <f>'1.1.sz.mell. '!C126</f>
        <v>285432147</v>
      </c>
      <c r="I124" s="1206">
        <f>28614577+42450993-1206500</f>
        <v>69859070</v>
      </c>
      <c r="J124" s="590"/>
      <c r="K124" s="1206"/>
    </row>
    <row r="125" spans="1:11" ht="12" customHeight="1" x14ac:dyDescent="0.25">
      <c r="A125" s="12" t="s">
        <v>109</v>
      </c>
      <c r="B125" s="456" t="s">
        <v>174</v>
      </c>
      <c r="C125" s="1343">
        <f>SUM(C126:C133)</f>
        <v>45390849</v>
      </c>
      <c r="D125" s="1320">
        <f>SUM(D126:D133)</f>
        <v>7243922</v>
      </c>
      <c r="E125" s="1321"/>
      <c r="F125" s="1321"/>
      <c r="G125" s="1321"/>
      <c r="H125" s="430">
        <f>'1.1.sz.mell. '!C127</f>
        <v>6878720</v>
      </c>
      <c r="I125" s="1206">
        <f>SUM(I126:I133)</f>
        <v>26919106</v>
      </c>
      <c r="J125" s="1206">
        <f>SUM(J126:J133)</f>
        <v>0</v>
      </c>
      <c r="K125" s="1206"/>
    </row>
    <row r="126" spans="1:11" ht="12" customHeight="1" x14ac:dyDescent="0.25">
      <c r="A126" s="12" t="s">
        <v>118</v>
      </c>
      <c r="B126" s="455" t="s">
        <v>375</v>
      </c>
      <c r="C126" s="1344"/>
      <c r="D126" s="1320"/>
      <c r="E126" s="1345"/>
      <c r="F126" s="1345"/>
      <c r="G126" s="1321"/>
      <c r="H126" s="430">
        <f>'1.1.sz.mell. '!C128</f>
        <v>0</v>
      </c>
      <c r="I126" s="106"/>
      <c r="J126" s="106"/>
      <c r="K126" s="1206"/>
    </row>
    <row r="127" spans="1:11" ht="12" customHeight="1" x14ac:dyDescent="0.25">
      <c r="A127" s="12" t="s">
        <v>120</v>
      </c>
      <c r="B127" s="470" t="s">
        <v>318</v>
      </c>
      <c r="C127" s="1346"/>
      <c r="D127" s="1320"/>
      <c r="E127" s="1345"/>
      <c r="F127" s="1345"/>
      <c r="G127" s="1321"/>
      <c r="H127" s="430">
        <f>'1.1.sz.mell. '!C129</f>
        <v>0</v>
      </c>
      <c r="I127" s="106"/>
      <c r="J127" s="106"/>
      <c r="K127" s="1206"/>
    </row>
    <row r="128" spans="1:11" ht="12" customHeight="1" x14ac:dyDescent="0.25">
      <c r="A128" s="12" t="s">
        <v>153</v>
      </c>
      <c r="B128" s="471" t="s">
        <v>301</v>
      </c>
      <c r="C128" s="1347"/>
      <c r="D128" s="1320"/>
      <c r="E128" s="1345"/>
      <c r="F128" s="1345"/>
      <c r="G128" s="1321"/>
      <c r="H128" s="430">
        <f>'1.1.sz.mell. '!C130</f>
        <v>0</v>
      </c>
      <c r="I128" s="106"/>
      <c r="J128" s="106"/>
      <c r="K128" s="1206"/>
    </row>
    <row r="129" spans="1:11" ht="12" customHeight="1" x14ac:dyDescent="0.25">
      <c r="A129" s="12" t="s">
        <v>154</v>
      </c>
      <c r="B129" s="471" t="s">
        <v>317</v>
      </c>
      <c r="C129" s="1347"/>
      <c r="D129" s="1320">
        <v>308980</v>
      </c>
      <c r="E129" s="1345"/>
      <c r="F129" s="1345"/>
      <c r="G129" s="1321"/>
      <c r="H129" s="430">
        <f>'1.1.sz.mell. '!C131</f>
        <v>0</v>
      </c>
      <c r="I129" s="106"/>
      <c r="J129" s="106"/>
      <c r="K129" s="1206"/>
    </row>
    <row r="130" spans="1:11" ht="12" customHeight="1" x14ac:dyDescent="0.25">
      <c r="A130" s="12" t="s">
        <v>155</v>
      </c>
      <c r="B130" s="471" t="s">
        <v>316</v>
      </c>
      <c r="C130" s="1347"/>
      <c r="D130" s="1320"/>
      <c r="E130" s="1345"/>
      <c r="F130" s="1345"/>
      <c r="G130" s="1321"/>
      <c r="H130" s="430">
        <f>'1.1.sz.mell. '!C132</f>
        <v>0</v>
      </c>
      <c r="I130" s="106"/>
      <c r="J130" s="106"/>
      <c r="K130" s="1206"/>
    </row>
    <row r="131" spans="1:11" ht="12" customHeight="1" x14ac:dyDescent="0.25">
      <c r="A131" s="12" t="s">
        <v>309</v>
      </c>
      <c r="B131" s="471" t="s">
        <v>304</v>
      </c>
      <c r="C131" s="1347"/>
      <c r="D131" s="1320"/>
      <c r="E131" s="1345"/>
      <c r="F131" s="1345"/>
      <c r="G131" s="1321"/>
      <c r="H131" s="430">
        <f>'1.1.sz.mell. '!C133</f>
        <v>0</v>
      </c>
      <c r="I131" s="106"/>
      <c r="J131" s="106"/>
      <c r="K131" s="1206"/>
    </row>
    <row r="132" spans="1:11" ht="12" customHeight="1" x14ac:dyDescent="0.25">
      <c r="A132" s="12" t="s">
        <v>310</v>
      </c>
      <c r="B132" s="471" t="s">
        <v>315</v>
      </c>
      <c r="C132" s="1347"/>
      <c r="D132" s="1320"/>
      <c r="E132" s="1345"/>
      <c r="F132" s="1345"/>
      <c r="G132" s="1321"/>
      <c r="H132" s="430">
        <f>'1.1.sz.mell. '!C134</f>
        <v>0</v>
      </c>
      <c r="I132" s="106"/>
      <c r="J132" s="106"/>
      <c r="K132" s="1206"/>
    </row>
    <row r="133" spans="1:11" ht="12" customHeight="1" thickBot="1" x14ac:dyDescent="0.3">
      <c r="A133" s="10" t="s">
        <v>311</v>
      </c>
      <c r="B133" s="471" t="s">
        <v>314</v>
      </c>
      <c r="C133" s="1327">
        <v>45390849</v>
      </c>
      <c r="D133" s="1331">
        <v>6934942</v>
      </c>
      <c r="E133" s="1324"/>
      <c r="F133" s="1324"/>
      <c r="G133" s="1324"/>
      <c r="H133" s="430">
        <f>'1.1.sz.mell. '!C135</f>
        <v>6878720</v>
      </c>
      <c r="I133" s="1207">
        <f>650000+26269106</f>
        <v>26919106</v>
      </c>
      <c r="J133" s="1207"/>
      <c r="K133" s="1207"/>
    </row>
    <row r="134" spans="1:11" ht="12" customHeight="1" thickBot="1" x14ac:dyDescent="0.3">
      <c r="A134" s="17" t="s">
        <v>23</v>
      </c>
      <c r="B134" s="433" t="s">
        <v>470</v>
      </c>
      <c r="C134" s="1312">
        <f>C120+C99</f>
        <v>2534473084</v>
      </c>
      <c r="D134" s="1312">
        <f>D120+D99</f>
        <v>2764684048</v>
      </c>
      <c r="E134" s="1334"/>
      <c r="F134" s="1335"/>
      <c r="G134" s="1335"/>
      <c r="H134" s="435">
        <f>'1.1.sz.mell. '!C136</f>
        <v>4013936595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471</v>
      </c>
      <c r="C135" s="1312">
        <f>SUM(C136:C138)</f>
        <v>8118704</v>
      </c>
      <c r="D135" s="1312">
        <f>SUM(D136:D138)</f>
        <v>16952500</v>
      </c>
      <c r="E135" s="1334"/>
      <c r="F135" s="1335"/>
      <c r="G135" s="1335"/>
      <c r="H135" s="435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210</v>
      </c>
      <c r="B136" s="464" t="s">
        <v>472</v>
      </c>
      <c r="C136" s="1327">
        <v>8118704</v>
      </c>
      <c r="D136" s="1348">
        <v>16952500</v>
      </c>
      <c r="E136" s="1321"/>
      <c r="F136" s="1321"/>
      <c r="G136" s="1321"/>
      <c r="H136" s="430">
        <f>'1.1.sz.mell. '!C138</f>
        <v>26038434</v>
      </c>
      <c r="I136" s="1206">
        <f>11674500+5278000</f>
        <v>16952500</v>
      </c>
      <c r="J136" s="1206"/>
      <c r="K136" s="1206"/>
    </row>
    <row r="137" spans="1:11" ht="12" customHeight="1" x14ac:dyDescent="0.25">
      <c r="A137" s="12" t="s">
        <v>213</v>
      </c>
      <c r="B137" s="464" t="s">
        <v>473</v>
      </c>
      <c r="C137" s="1341"/>
      <c r="D137" s="1349"/>
      <c r="E137" s="1345"/>
      <c r="F137" s="1345"/>
      <c r="G137" s="1345"/>
      <c r="H137" s="430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214</v>
      </c>
      <c r="B138" s="464" t="s">
        <v>474</v>
      </c>
      <c r="C138" s="1341"/>
      <c r="D138" s="1350"/>
      <c r="E138" s="1345"/>
      <c r="F138" s="1345"/>
      <c r="G138" s="1345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475</v>
      </c>
      <c r="C139" s="1351">
        <f>SUM(C140:C145)</f>
        <v>0</v>
      </c>
      <c r="D139" s="1351">
        <f>SUM(D140:D145)</f>
        <v>0</v>
      </c>
      <c r="E139" s="1351">
        <f>SUM(E140:E145)</f>
        <v>0</v>
      </c>
      <c r="F139" s="1351">
        <f>SUM(F140:F145)</f>
        <v>0</v>
      </c>
      <c r="G139" s="1351">
        <f>SUM(G140:G145)</f>
        <v>0</v>
      </c>
      <c r="H139" s="1351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92</v>
      </c>
      <c r="B140" s="468" t="s">
        <v>476</v>
      </c>
      <c r="C140" s="1346"/>
      <c r="D140" s="1348"/>
      <c r="E140" s="1345"/>
      <c r="F140" s="1345"/>
      <c r="G140" s="1345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93</v>
      </c>
      <c r="B141" s="468" t="s">
        <v>477</v>
      </c>
      <c r="C141" s="1346"/>
      <c r="D141" s="1349"/>
      <c r="E141" s="1345"/>
      <c r="F141" s="1345"/>
      <c r="G141" s="1345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94</v>
      </c>
      <c r="B142" s="468" t="s">
        <v>478</v>
      </c>
      <c r="C142" s="1346"/>
      <c r="D142" s="1349"/>
      <c r="E142" s="1345"/>
      <c r="F142" s="1345"/>
      <c r="G142" s="1345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140</v>
      </c>
      <c r="B143" s="468" t="s">
        <v>479</v>
      </c>
      <c r="C143" s="1346"/>
      <c r="D143" s="1349"/>
      <c r="E143" s="1345"/>
      <c r="F143" s="1345"/>
      <c r="G143" s="1345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141</v>
      </c>
      <c r="B144" s="468" t="s">
        <v>480</v>
      </c>
      <c r="C144" s="1346"/>
      <c r="D144" s="1349"/>
      <c r="E144" s="1345"/>
      <c r="F144" s="1345"/>
      <c r="G144" s="1345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142</v>
      </c>
      <c r="B145" s="468" t="s">
        <v>481</v>
      </c>
      <c r="C145" s="1346"/>
      <c r="D145" s="1350"/>
      <c r="E145" s="1345"/>
      <c r="F145" s="1345"/>
      <c r="G145" s="1345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482</v>
      </c>
      <c r="C146" s="1312">
        <f>SUM(C147:C150)</f>
        <v>38167591</v>
      </c>
      <c r="D146" s="1312">
        <f t="shared" ref="D146:K146" si="0">SUM(D147:D150)</f>
        <v>41904332</v>
      </c>
      <c r="E146" s="1312">
        <f t="shared" si="0"/>
        <v>0</v>
      </c>
      <c r="F146" s="1312">
        <f t="shared" si="0"/>
        <v>0</v>
      </c>
      <c r="G146" s="1312">
        <f t="shared" si="0"/>
        <v>0</v>
      </c>
      <c r="H146" s="1312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95</v>
      </c>
      <c r="B147" s="468" t="s">
        <v>319</v>
      </c>
      <c r="C147" s="1346"/>
      <c r="D147" s="1348"/>
      <c r="E147" s="1345"/>
      <c r="F147" s="1345"/>
      <c r="G147" s="1345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96</v>
      </c>
      <c r="B148" s="468" t="s">
        <v>320</v>
      </c>
      <c r="C148" s="1337">
        <v>38167591</v>
      </c>
      <c r="D148" s="1349">
        <v>41904332</v>
      </c>
      <c r="E148" s="1345"/>
      <c r="F148" s="1345"/>
      <c r="G148" s="1345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233</v>
      </c>
      <c r="B149" s="468" t="s">
        <v>483</v>
      </c>
      <c r="C149" s="1346"/>
      <c r="D149" s="1349"/>
      <c r="E149" s="1345"/>
      <c r="F149" s="1345"/>
      <c r="G149" s="1345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234</v>
      </c>
      <c r="B150" s="469" t="s">
        <v>338</v>
      </c>
      <c r="C150" s="1352"/>
      <c r="D150" s="1350"/>
      <c r="E150" s="1345"/>
      <c r="F150" s="1345"/>
      <c r="G150" s="1345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484</v>
      </c>
      <c r="C151" s="1353">
        <f>SUM(C152:C156)</f>
        <v>0</v>
      </c>
      <c r="D151" s="1353">
        <f>SUM(D152:D156)</f>
        <v>0</v>
      </c>
      <c r="E151" s="1353">
        <f>SUM(E152:E156)</f>
        <v>0</v>
      </c>
      <c r="F151" s="1353">
        <f>SUM(F152:F156)</f>
        <v>0</v>
      </c>
      <c r="G151" s="1353">
        <f>SUM(G152:G156)</f>
        <v>0</v>
      </c>
      <c r="H151" s="1353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97</v>
      </c>
      <c r="B152" s="468" t="s">
        <v>485</v>
      </c>
      <c r="C152" s="1346"/>
      <c r="D152" s="1348"/>
      <c r="E152" s="1345"/>
      <c r="F152" s="1345"/>
      <c r="G152" s="1345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98</v>
      </c>
      <c r="B153" s="468" t="s">
        <v>486</v>
      </c>
      <c r="C153" s="1337"/>
      <c r="D153" s="1349"/>
      <c r="E153" s="1345"/>
      <c r="F153" s="1345"/>
      <c r="G153" s="1345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245</v>
      </c>
      <c r="B154" s="468" t="s">
        <v>487</v>
      </c>
      <c r="C154" s="1346"/>
      <c r="D154" s="1349"/>
      <c r="E154" s="1345"/>
      <c r="F154" s="1345"/>
      <c r="G154" s="1345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246</v>
      </c>
      <c r="B155" s="468" t="s">
        <v>488</v>
      </c>
      <c r="C155" s="1346"/>
      <c r="D155" s="1349"/>
      <c r="E155" s="1345"/>
      <c r="F155" s="1345"/>
      <c r="G155" s="1345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489</v>
      </c>
      <c r="B156" s="468" t="s">
        <v>490</v>
      </c>
      <c r="C156" s="1346"/>
      <c r="D156" s="1350"/>
      <c r="E156" s="1354"/>
      <c r="F156" s="1354"/>
      <c r="G156" s="1345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491</v>
      </c>
      <c r="C157" s="1353"/>
      <c r="D157" s="1355"/>
      <c r="E157" s="1356"/>
      <c r="F157" s="1357"/>
      <c r="G157" s="1358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492</v>
      </c>
      <c r="C158" s="1353"/>
      <c r="D158" s="1355"/>
      <c r="E158" s="1356"/>
      <c r="F158" s="1357"/>
      <c r="G158" s="1358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493</v>
      </c>
      <c r="C159" s="1312">
        <f>C135+C139+C146+C151+C157+C158</f>
        <v>46286295</v>
      </c>
      <c r="D159" s="1312">
        <f>D135+D139+D146+D151+D157+D158</f>
        <v>58856832</v>
      </c>
      <c r="E159" s="1359"/>
      <c r="F159" s="1360"/>
      <c r="G159" s="1360"/>
      <c r="H159" s="435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494</v>
      </c>
      <c r="C160" s="1312">
        <f>C159+C134</f>
        <v>2580759379</v>
      </c>
      <c r="D160" s="1312">
        <f>D159+D134</f>
        <v>2823540880</v>
      </c>
      <c r="E160" s="1359"/>
      <c r="F160" s="1360"/>
      <c r="G160" s="1360"/>
      <c r="H160" s="435">
        <f>'1.1.sz.mell. '!C162</f>
        <v>4785647283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16" customFormat="1" ht="16.5" customHeight="1" x14ac:dyDescent="0.25">
      <c r="C164" s="1031"/>
      <c r="D164" s="1031"/>
      <c r="E164" s="1031"/>
      <c r="F164" s="1031"/>
      <c r="G164" s="1031"/>
      <c r="H164" s="1031"/>
      <c r="I164" s="1015"/>
      <c r="J164" s="1015"/>
      <c r="K164" s="1015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Munka47"/>
  <dimension ref="A1:J54"/>
  <sheetViews>
    <sheetView topLeftCell="A19" workbookViewId="0">
      <selection activeCell="C25" sqref="C25"/>
    </sheetView>
  </sheetViews>
  <sheetFormatPr defaultRowHeight="12.75" x14ac:dyDescent="0.2"/>
  <cols>
    <col min="1" max="1" width="6.83203125" style="1009" customWidth="1"/>
    <col min="2" max="2" width="49.6640625" style="1008" customWidth="1"/>
    <col min="3" max="3" width="12.83203125" style="1032" customWidth="1"/>
    <col min="4" max="8" width="12.83203125" style="1008" customWidth="1"/>
    <col min="9" max="9" width="13.83203125" style="1008" customWidth="1"/>
    <col min="10" max="256" width="9.33203125" style="1008"/>
    <col min="257" max="257" width="6.83203125" style="1008" customWidth="1"/>
    <col min="258" max="258" width="49.6640625" style="1008" customWidth="1"/>
    <col min="259" max="264" width="12.83203125" style="1008" customWidth="1"/>
    <col min="265" max="265" width="13.83203125" style="1008" customWidth="1"/>
    <col min="266" max="512" width="9.33203125" style="1008"/>
    <col min="513" max="513" width="6.83203125" style="1008" customWidth="1"/>
    <col min="514" max="514" width="49.6640625" style="1008" customWidth="1"/>
    <col min="515" max="520" width="12.83203125" style="1008" customWidth="1"/>
    <col min="521" max="521" width="13.83203125" style="1008" customWidth="1"/>
    <col min="522" max="768" width="9.33203125" style="1008"/>
    <col min="769" max="769" width="6.83203125" style="1008" customWidth="1"/>
    <col min="770" max="770" width="49.6640625" style="1008" customWidth="1"/>
    <col min="771" max="776" width="12.83203125" style="1008" customWidth="1"/>
    <col min="777" max="777" width="13.83203125" style="1008" customWidth="1"/>
    <col min="778" max="1024" width="9.33203125" style="1008"/>
    <col min="1025" max="1025" width="6.83203125" style="1008" customWidth="1"/>
    <col min="1026" max="1026" width="49.6640625" style="1008" customWidth="1"/>
    <col min="1027" max="1032" width="12.83203125" style="1008" customWidth="1"/>
    <col min="1033" max="1033" width="13.83203125" style="1008" customWidth="1"/>
    <col min="1034" max="1280" width="9.33203125" style="1008"/>
    <col min="1281" max="1281" width="6.83203125" style="1008" customWidth="1"/>
    <col min="1282" max="1282" width="49.6640625" style="1008" customWidth="1"/>
    <col min="1283" max="1288" width="12.83203125" style="1008" customWidth="1"/>
    <col min="1289" max="1289" width="13.83203125" style="1008" customWidth="1"/>
    <col min="1290" max="1536" width="9.33203125" style="1008"/>
    <col min="1537" max="1537" width="6.83203125" style="1008" customWidth="1"/>
    <col min="1538" max="1538" width="49.6640625" style="1008" customWidth="1"/>
    <col min="1539" max="1544" width="12.83203125" style="1008" customWidth="1"/>
    <col min="1545" max="1545" width="13.83203125" style="1008" customWidth="1"/>
    <col min="1546" max="1792" width="9.33203125" style="1008"/>
    <col min="1793" max="1793" width="6.83203125" style="1008" customWidth="1"/>
    <col min="1794" max="1794" width="49.6640625" style="1008" customWidth="1"/>
    <col min="1795" max="1800" width="12.83203125" style="1008" customWidth="1"/>
    <col min="1801" max="1801" width="13.83203125" style="1008" customWidth="1"/>
    <col min="1802" max="2048" width="9.33203125" style="1008"/>
    <col min="2049" max="2049" width="6.83203125" style="1008" customWidth="1"/>
    <col min="2050" max="2050" width="49.6640625" style="1008" customWidth="1"/>
    <col min="2051" max="2056" width="12.83203125" style="1008" customWidth="1"/>
    <col min="2057" max="2057" width="13.83203125" style="1008" customWidth="1"/>
    <col min="2058" max="2304" width="9.33203125" style="1008"/>
    <col min="2305" max="2305" width="6.83203125" style="1008" customWidth="1"/>
    <col min="2306" max="2306" width="49.6640625" style="1008" customWidth="1"/>
    <col min="2307" max="2312" width="12.83203125" style="1008" customWidth="1"/>
    <col min="2313" max="2313" width="13.83203125" style="1008" customWidth="1"/>
    <col min="2314" max="2560" width="9.33203125" style="1008"/>
    <col min="2561" max="2561" width="6.83203125" style="1008" customWidth="1"/>
    <col min="2562" max="2562" width="49.6640625" style="1008" customWidth="1"/>
    <col min="2563" max="2568" width="12.83203125" style="1008" customWidth="1"/>
    <col min="2569" max="2569" width="13.83203125" style="1008" customWidth="1"/>
    <col min="2570" max="2816" width="9.33203125" style="1008"/>
    <col min="2817" max="2817" width="6.83203125" style="1008" customWidth="1"/>
    <col min="2818" max="2818" width="49.6640625" style="1008" customWidth="1"/>
    <col min="2819" max="2824" width="12.83203125" style="1008" customWidth="1"/>
    <col min="2825" max="2825" width="13.83203125" style="1008" customWidth="1"/>
    <col min="2826" max="3072" width="9.33203125" style="1008"/>
    <col min="3073" max="3073" width="6.83203125" style="1008" customWidth="1"/>
    <col min="3074" max="3074" width="49.6640625" style="1008" customWidth="1"/>
    <col min="3075" max="3080" width="12.83203125" style="1008" customWidth="1"/>
    <col min="3081" max="3081" width="13.83203125" style="1008" customWidth="1"/>
    <col min="3082" max="3328" width="9.33203125" style="1008"/>
    <col min="3329" max="3329" width="6.83203125" style="1008" customWidth="1"/>
    <col min="3330" max="3330" width="49.6640625" style="1008" customWidth="1"/>
    <col min="3331" max="3336" width="12.83203125" style="1008" customWidth="1"/>
    <col min="3337" max="3337" width="13.83203125" style="1008" customWidth="1"/>
    <col min="3338" max="3584" width="9.33203125" style="1008"/>
    <col min="3585" max="3585" width="6.83203125" style="1008" customWidth="1"/>
    <col min="3586" max="3586" width="49.6640625" style="1008" customWidth="1"/>
    <col min="3587" max="3592" width="12.83203125" style="1008" customWidth="1"/>
    <col min="3593" max="3593" width="13.83203125" style="1008" customWidth="1"/>
    <col min="3594" max="3840" width="9.33203125" style="1008"/>
    <col min="3841" max="3841" width="6.83203125" style="1008" customWidth="1"/>
    <col min="3842" max="3842" width="49.6640625" style="1008" customWidth="1"/>
    <col min="3843" max="3848" width="12.83203125" style="1008" customWidth="1"/>
    <col min="3849" max="3849" width="13.83203125" style="1008" customWidth="1"/>
    <col min="3850" max="4096" width="9.33203125" style="1008"/>
    <col min="4097" max="4097" width="6.83203125" style="1008" customWidth="1"/>
    <col min="4098" max="4098" width="49.6640625" style="1008" customWidth="1"/>
    <col min="4099" max="4104" width="12.83203125" style="1008" customWidth="1"/>
    <col min="4105" max="4105" width="13.83203125" style="1008" customWidth="1"/>
    <col min="4106" max="4352" width="9.33203125" style="1008"/>
    <col min="4353" max="4353" width="6.83203125" style="1008" customWidth="1"/>
    <col min="4354" max="4354" width="49.6640625" style="1008" customWidth="1"/>
    <col min="4355" max="4360" width="12.83203125" style="1008" customWidth="1"/>
    <col min="4361" max="4361" width="13.83203125" style="1008" customWidth="1"/>
    <col min="4362" max="4608" width="9.33203125" style="1008"/>
    <col min="4609" max="4609" width="6.83203125" style="1008" customWidth="1"/>
    <col min="4610" max="4610" width="49.6640625" style="1008" customWidth="1"/>
    <col min="4611" max="4616" width="12.83203125" style="1008" customWidth="1"/>
    <col min="4617" max="4617" width="13.83203125" style="1008" customWidth="1"/>
    <col min="4618" max="4864" width="9.33203125" style="1008"/>
    <col min="4865" max="4865" width="6.83203125" style="1008" customWidth="1"/>
    <col min="4866" max="4866" width="49.6640625" style="1008" customWidth="1"/>
    <col min="4867" max="4872" width="12.83203125" style="1008" customWidth="1"/>
    <col min="4873" max="4873" width="13.83203125" style="1008" customWidth="1"/>
    <col min="4874" max="5120" width="9.33203125" style="1008"/>
    <col min="5121" max="5121" width="6.83203125" style="1008" customWidth="1"/>
    <col min="5122" max="5122" width="49.6640625" style="1008" customWidth="1"/>
    <col min="5123" max="5128" width="12.83203125" style="1008" customWidth="1"/>
    <col min="5129" max="5129" width="13.83203125" style="1008" customWidth="1"/>
    <col min="5130" max="5376" width="9.33203125" style="1008"/>
    <col min="5377" max="5377" width="6.83203125" style="1008" customWidth="1"/>
    <col min="5378" max="5378" width="49.6640625" style="1008" customWidth="1"/>
    <col min="5379" max="5384" width="12.83203125" style="1008" customWidth="1"/>
    <col min="5385" max="5385" width="13.83203125" style="1008" customWidth="1"/>
    <col min="5386" max="5632" width="9.33203125" style="1008"/>
    <col min="5633" max="5633" width="6.83203125" style="1008" customWidth="1"/>
    <col min="5634" max="5634" width="49.6640625" style="1008" customWidth="1"/>
    <col min="5635" max="5640" width="12.83203125" style="1008" customWidth="1"/>
    <col min="5641" max="5641" width="13.83203125" style="1008" customWidth="1"/>
    <col min="5642" max="5888" width="9.33203125" style="1008"/>
    <col min="5889" max="5889" width="6.83203125" style="1008" customWidth="1"/>
    <col min="5890" max="5890" width="49.6640625" style="1008" customWidth="1"/>
    <col min="5891" max="5896" width="12.83203125" style="1008" customWidth="1"/>
    <col min="5897" max="5897" width="13.83203125" style="1008" customWidth="1"/>
    <col min="5898" max="6144" width="9.33203125" style="1008"/>
    <col min="6145" max="6145" width="6.83203125" style="1008" customWidth="1"/>
    <col min="6146" max="6146" width="49.6640625" style="1008" customWidth="1"/>
    <col min="6147" max="6152" width="12.83203125" style="1008" customWidth="1"/>
    <col min="6153" max="6153" width="13.83203125" style="1008" customWidth="1"/>
    <col min="6154" max="6400" width="9.33203125" style="1008"/>
    <col min="6401" max="6401" width="6.83203125" style="1008" customWidth="1"/>
    <col min="6402" max="6402" width="49.6640625" style="1008" customWidth="1"/>
    <col min="6403" max="6408" width="12.83203125" style="1008" customWidth="1"/>
    <col min="6409" max="6409" width="13.83203125" style="1008" customWidth="1"/>
    <col min="6410" max="6656" width="9.33203125" style="1008"/>
    <col min="6657" max="6657" width="6.83203125" style="1008" customWidth="1"/>
    <col min="6658" max="6658" width="49.6640625" style="1008" customWidth="1"/>
    <col min="6659" max="6664" width="12.83203125" style="1008" customWidth="1"/>
    <col min="6665" max="6665" width="13.83203125" style="1008" customWidth="1"/>
    <col min="6666" max="6912" width="9.33203125" style="1008"/>
    <col min="6913" max="6913" width="6.83203125" style="1008" customWidth="1"/>
    <col min="6914" max="6914" width="49.6640625" style="1008" customWidth="1"/>
    <col min="6915" max="6920" width="12.83203125" style="1008" customWidth="1"/>
    <col min="6921" max="6921" width="13.83203125" style="1008" customWidth="1"/>
    <col min="6922" max="7168" width="9.33203125" style="1008"/>
    <col min="7169" max="7169" width="6.83203125" style="1008" customWidth="1"/>
    <col min="7170" max="7170" width="49.6640625" style="1008" customWidth="1"/>
    <col min="7171" max="7176" width="12.83203125" style="1008" customWidth="1"/>
    <col min="7177" max="7177" width="13.83203125" style="1008" customWidth="1"/>
    <col min="7178" max="7424" width="9.33203125" style="1008"/>
    <col min="7425" max="7425" width="6.83203125" style="1008" customWidth="1"/>
    <col min="7426" max="7426" width="49.6640625" style="1008" customWidth="1"/>
    <col min="7427" max="7432" width="12.83203125" style="1008" customWidth="1"/>
    <col min="7433" max="7433" width="13.83203125" style="1008" customWidth="1"/>
    <col min="7434" max="7680" width="9.33203125" style="1008"/>
    <col min="7681" max="7681" width="6.83203125" style="1008" customWidth="1"/>
    <col min="7682" max="7682" width="49.6640625" style="1008" customWidth="1"/>
    <col min="7683" max="7688" width="12.83203125" style="1008" customWidth="1"/>
    <col min="7689" max="7689" width="13.83203125" style="1008" customWidth="1"/>
    <col min="7690" max="7936" width="9.33203125" style="1008"/>
    <col min="7937" max="7937" width="6.83203125" style="1008" customWidth="1"/>
    <col min="7938" max="7938" width="49.6640625" style="1008" customWidth="1"/>
    <col min="7939" max="7944" width="12.83203125" style="1008" customWidth="1"/>
    <col min="7945" max="7945" width="13.83203125" style="1008" customWidth="1"/>
    <col min="7946" max="8192" width="9.33203125" style="1008"/>
    <col min="8193" max="8193" width="6.83203125" style="1008" customWidth="1"/>
    <col min="8194" max="8194" width="49.6640625" style="1008" customWidth="1"/>
    <col min="8195" max="8200" width="12.83203125" style="1008" customWidth="1"/>
    <col min="8201" max="8201" width="13.83203125" style="1008" customWidth="1"/>
    <col min="8202" max="8448" width="9.33203125" style="1008"/>
    <col min="8449" max="8449" width="6.83203125" style="1008" customWidth="1"/>
    <col min="8450" max="8450" width="49.6640625" style="1008" customWidth="1"/>
    <col min="8451" max="8456" width="12.83203125" style="1008" customWidth="1"/>
    <col min="8457" max="8457" width="13.83203125" style="1008" customWidth="1"/>
    <col min="8458" max="8704" width="9.33203125" style="1008"/>
    <col min="8705" max="8705" width="6.83203125" style="1008" customWidth="1"/>
    <col min="8706" max="8706" width="49.6640625" style="1008" customWidth="1"/>
    <col min="8707" max="8712" width="12.83203125" style="1008" customWidth="1"/>
    <col min="8713" max="8713" width="13.83203125" style="1008" customWidth="1"/>
    <col min="8714" max="8960" width="9.33203125" style="1008"/>
    <col min="8961" max="8961" width="6.83203125" style="1008" customWidth="1"/>
    <col min="8962" max="8962" width="49.6640625" style="1008" customWidth="1"/>
    <col min="8963" max="8968" width="12.83203125" style="1008" customWidth="1"/>
    <col min="8969" max="8969" width="13.83203125" style="1008" customWidth="1"/>
    <col min="8970" max="9216" width="9.33203125" style="1008"/>
    <col min="9217" max="9217" width="6.83203125" style="1008" customWidth="1"/>
    <col min="9218" max="9218" width="49.6640625" style="1008" customWidth="1"/>
    <col min="9219" max="9224" width="12.83203125" style="1008" customWidth="1"/>
    <col min="9225" max="9225" width="13.83203125" style="1008" customWidth="1"/>
    <col min="9226" max="9472" width="9.33203125" style="1008"/>
    <col min="9473" max="9473" width="6.83203125" style="1008" customWidth="1"/>
    <col min="9474" max="9474" width="49.6640625" style="1008" customWidth="1"/>
    <col min="9475" max="9480" width="12.83203125" style="1008" customWidth="1"/>
    <col min="9481" max="9481" width="13.83203125" style="1008" customWidth="1"/>
    <col min="9482" max="9728" width="9.33203125" style="1008"/>
    <col min="9729" max="9729" width="6.83203125" style="1008" customWidth="1"/>
    <col min="9730" max="9730" width="49.6640625" style="1008" customWidth="1"/>
    <col min="9731" max="9736" width="12.83203125" style="1008" customWidth="1"/>
    <col min="9737" max="9737" width="13.83203125" style="1008" customWidth="1"/>
    <col min="9738" max="9984" width="9.33203125" style="1008"/>
    <col min="9985" max="9985" width="6.83203125" style="1008" customWidth="1"/>
    <col min="9986" max="9986" width="49.6640625" style="1008" customWidth="1"/>
    <col min="9987" max="9992" width="12.83203125" style="1008" customWidth="1"/>
    <col min="9993" max="9993" width="13.83203125" style="1008" customWidth="1"/>
    <col min="9994" max="10240" width="9.33203125" style="1008"/>
    <col min="10241" max="10241" width="6.83203125" style="1008" customWidth="1"/>
    <col min="10242" max="10242" width="49.6640625" style="1008" customWidth="1"/>
    <col min="10243" max="10248" width="12.83203125" style="1008" customWidth="1"/>
    <col min="10249" max="10249" width="13.83203125" style="1008" customWidth="1"/>
    <col min="10250" max="10496" width="9.33203125" style="1008"/>
    <col min="10497" max="10497" width="6.83203125" style="1008" customWidth="1"/>
    <col min="10498" max="10498" width="49.6640625" style="1008" customWidth="1"/>
    <col min="10499" max="10504" width="12.83203125" style="1008" customWidth="1"/>
    <col min="10505" max="10505" width="13.83203125" style="1008" customWidth="1"/>
    <col min="10506" max="10752" width="9.33203125" style="1008"/>
    <col min="10753" max="10753" width="6.83203125" style="1008" customWidth="1"/>
    <col min="10754" max="10754" width="49.6640625" style="1008" customWidth="1"/>
    <col min="10755" max="10760" width="12.83203125" style="1008" customWidth="1"/>
    <col min="10761" max="10761" width="13.83203125" style="1008" customWidth="1"/>
    <col min="10762" max="11008" width="9.33203125" style="1008"/>
    <col min="11009" max="11009" width="6.83203125" style="1008" customWidth="1"/>
    <col min="11010" max="11010" width="49.6640625" style="1008" customWidth="1"/>
    <col min="11011" max="11016" width="12.83203125" style="1008" customWidth="1"/>
    <col min="11017" max="11017" width="13.83203125" style="1008" customWidth="1"/>
    <col min="11018" max="11264" width="9.33203125" style="1008"/>
    <col min="11265" max="11265" width="6.83203125" style="1008" customWidth="1"/>
    <col min="11266" max="11266" width="49.6640625" style="1008" customWidth="1"/>
    <col min="11267" max="11272" width="12.83203125" style="1008" customWidth="1"/>
    <col min="11273" max="11273" width="13.83203125" style="1008" customWidth="1"/>
    <col min="11274" max="11520" width="9.33203125" style="1008"/>
    <col min="11521" max="11521" width="6.83203125" style="1008" customWidth="1"/>
    <col min="11522" max="11522" width="49.6640625" style="1008" customWidth="1"/>
    <col min="11523" max="11528" width="12.83203125" style="1008" customWidth="1"/>
    <col min="11529" max="11529" width="13.83203125" style="1008" customWidth="1"/>
    <col min="11530" max="11776" width="9.33203125" style="1008"/>
    <col min="11777" max="11777" width="6.83203125" style="1008" customWidth="1"/>
    <col min="11778" max="11778" width="49.6640625" style="1008" customWidth="1"/>
    <col min="11779" max="11784" width="12.83203125" style="1008" customWidth="1"/>
    <col min="11785" max="11785" width="13.83203125" style="1008" customWidth="1"/>
    <col min="11786" max="12032" width="9.33203125" style="1008"/>
    <col min="12033" max="12033" width="6.83203125" style="1008" customWidth="1"/>
    <col min="12034" max="12034" width="49.6640625" style="1008" customWidth="1"/>
    <col min="12035" max="12040" width="12.83203125" style="1008" customWidth="1"/>
    <col min="12041" max="12041" width="13.83203125" style="1008" customWidth="1"/>
    <col min="12042" max="12288" width="9.33203125" style="1008"/>
    <col min="12289" max="12289" width="6.83203125" style="1008" customWidth="1"/>
    <col min="12290" max="12290" width="49.6640625" style="1008" customWidth="1"/>
    <col min="12291" max="12296" width="12.83203125" style="1008" customWidth="1"/>
    <col min="12297" max="12297" width="13.83203125" style="1008" customWidth="1"/>
    <col min="12298" max="12544" width="9.33203125" style="1008"/>
    <col min="12545" max="12545" width="6.83203125" style="1008" customWidth="1"/>
    <col min="12546" max="12546" width="49.6640625" style="1008" customWidth="1"/>
    <col min="12547" max="12552" width="12.83203125" style="1008" customWidth="1"/>
    <col min="12553" max="12553" width="13.83203125" style="1008" customWidth="1"/>
    <col min="12554" max="12800" width="9.33203125" style="1008"/>
    <col min="12801" max="12801" width="6.83203125" style="1008" customWidth="1"/>
    <col min="12802" max="12802" width="49.6640625" style="1008" customWidth="1"/>
    <col min="12803" max="12808" width="12.83203125" style="1008" customWidth="1"/>
    <col min="12809" max="12809" width="13.83203125" style="1008" customWidth="1"/>
    <col min="12810" max="13056" width="9.33203125" style="1008"/>
    <col min="13057" max="13057" width="6.83203125" style="1008" customWidth="1"/>
    <col min="13058" max="13058" width="49.6640625" style="1008" customWidth="1"/>
    <col min="13059" max="13064" width="12.83203125" style="1008" customWidth="1"/>
    <col min="13065" max="13065" width="13.83203125" style="1008" customWidth="1"/>
    <col min="13066" max="13312" width="9.33203125" style="1008"/>
    <col min="13313" max="13313" width="6.83203125" style="1008" customWidth="1"/>
    <col min="13314" max="13314" width="49.6640625" style="1008" customWidth="1"/>
    <col min="13315" max="13320" width="12.83203125" style="1008" customWidth="1"/>
    <col min="13321" max="13321" width="13.83203125" style="1008" customWidth="1"/>
    <col min="13322" max="13568" width="9.33203125" style="1008"/>
    <col min="13569" max="13569" width="6.83203125" style="1008" customWidth="1"/>
    <col min="13570" max="13570" width="49.6640625" style="1008" customWidth="1"/>
    <col min="13571" max="13576" width="12.83203125" style="1008" customWidth="1"/>
    <col min="13577" max="13577" width="13.83203125" style="1008" customWidth="1"/>
    <col min="13578" max="13824" width="9.33203125" style="1008"/>
    <col min="13825" max="13825" width="6.83203125" style="1008" customWidth="1"/>
    <col min="13826" max="13826" width="49.6640625" style="1008" customWidth="1"/>
    <col min="13827" max="13832" width="12.83203125" style="1008" customWidth="1"/>
    <col min="13833" max="13833" width="13.83203125" style="1008" customWidth="1"/>
    <col min="13834" max="14080" width="9.33203125" style="1008"/>
    <col min="14081" max="14081" width="6.83203125" style="1008" customWidth="1"/>
    <col min="14082" max="14082" width="49.6640625" style="1008" customWidth="1"/>
    <col min="14083" max="14088" width="12.83203125" style="1008" customWidth="1"/>
    <col min="14089" max="14089" width="13.83203125" style="1008" customWidth="1"/>
    <col min="14090" max="14336" width="9.33203125" style="1008"/>
    <col min="14337" max="14337" width="6.83203125" style="1008" customWidth="1"/>
    <col min="14338" max="14338" width="49.6640625" style="1008" customWidth="1"/>
    <col min="14339" max="14344" width="12.83203125" style="1008" customWidth="1"/>
    <col min="14345" max="14345" width="13.83203125" style="1008" customWidth="1"/>
    <col min="14346" max="14592" width="9.33203125" style="1008"/>
    <col min="14593" max="14593" width="6.83203125" style="1008" customWidth="1"/>
    <col min="14594" max="14594" width="49.6640625" style="1008" customWidth="1"/>
    <col min="14595" max="14600" width="12.83203125" style="1008" customWidth="1"/>
    <col min="14601" max="14601" width="13.83203125" style="1008" customWidth="1"/>
    <col min="14602" max="14848" width="9.33203125" style="1008"/>
    <col min="14849" max="14849" width="6.83203125" style="1008" customWidth="1"/>
    <col min="14850" max="14850" width="49.6640625" style="1008" customWidth="1"/>
    <col min="14851" max="14856" width="12.83203125" style="1008" customWidth="1"/>
    <col min="14857" max="14857" width="13.83203125" style="1008" customWidth="1"/>
    <col min="14858" max="15104" width="9.33203125" style="1008"/>
    <col min="15105" max="15105" width="6.83203125" style="1008" customWidth="1"/>
    <col min="15106" max="15106" width="49.6640625" style="1008" customWidth="1"/>
    <col min="15107" max="15112" width="12.83203125" style="1008" customWidth="1"/>
    <col min="15113" max="15113" width="13.83203125" style="1008" customWidth="1"/>
    <col min="15114" max="15360" width="9.33203125" style="1008"/>
    <col min="15361" max="15361" width="6.83203125" style="1008" customWidth="1"/>
    <col min="15362" max="15362" width="49.6640625" style="1008" customWidth="1"/>
    <col min="15363" max="15368" width="12.83203125" style="1008" customWidth="1"/>
    <col min="15369" max="15369" width="13.83203125" style="1008" customWidth="1"/>
    <col min="15370" max="15616" width="9.33203125" style="1008"/>
    <col min="15617" max="15617" width="6.83203125" style="1008" customWidth="1"/>
    <col min="15618" max="15618" width="49.6640625" style="1008" customWidth="1"/>
    <col min="15619" max="15624" width="12.83203125" style="1008" customWidth="1"/>
    <col min="15625" max="15625" width="13.83203125" style="1008" customWidth="1"/>
    <col min="15626" max="15872" width="9.33203125" style="1008"/>
    <col min="15873" max="15873" width="6.83203125" style="1008" customWidth="1"/>
    <col min="15874" max="15874" width="49.6640625" style="1008" customWidth="1"/>
    <col min="15875" max="15880" width="12.83203125" style="1008" customWidth="1"/>
    <col min="15881" max="15881" width="13.83203125" style="1008" customWidth="1"/>
    <col min="15882" max="16128" width="9.33203125" style="1008"/>
    <col min="16129" max="16129" width="6.83203125" style="1008" customWidth="1"/>
    <col min="16130" max="16130" width="49.6640625" style="1008" customWidth="1"/>
    <col min="16131" max="16136" width="12.83203125" style="1008" customWidth="1"/>
    <col min="16137" max="16137" width="13.83203125" style="1008" customWidth="1"/>
    <col min="16138" max="16384" width="9.33203125" style="1008"/>
  </cols>
  <sheetData>
    <row r="1" spans="1:9" x14ac:dyDescent="0.2">
      <c r="A1" s="1533" t="str">
        <f>CONCATENATE("25. melléklet ",ALAPADATOK!A7," ",ALAPADATOK!B7," ",ALAPADATOK!C7," ",ALAPADATOK!D7," ",ALAPADATOK!E7," ",ALAPADATOK!F7," ",ALAPADATOK!G7," ",ALAPADATOK!H7)</f>
        <v>25. melléklet a  / 2020. (  ) önkormányzati rendelethez</v>
      </c>
      <c r="B1" s="1533"/>
      <c r="C1" s="1533"/>
      <c r="D1" s="1533"/>
      <c r="E1" s="1533"/>
      <c r="F1" s="1533"/>
      <c r="G1" s="1533"/>
      <c r="H1" s="1533"/>
      <c r="I1" s="1533"/>
    </row>
    <row r="2" spans="1:9" x14ac:dyDescent="0.2">
      <c r="G2" s="1541" t="s">
        <v>1027</v>
      </c>
      <c r="H2" s="1541"/>
      <c r="I2" s="1541"/>
    </row>
    <row r="3" spans="1:9" ht="27.75" customHeight="1" x14ac:dyDescent="0.2">
      <c r="A3" s="1486" t="s">
        <v>10</v>
      </c>
      <c r="B3" s="1486"/>
      <c r="C3" s="1486"/>
      <c r="D3" s="1486"/>
      <c r="E3" s="1486"/>
      <c r="F3" s="1486"/>
      <c r="G3" s="1486"/>
      <c r="H3" s="1486"/>
      <c r="I3" s="1486"/>
    </row>
    <row r="4" spans="1:9" ht="20.25" customHeight="1" thickBot="1" x14ac:dyDescent="0.3">
      <c r="B4" s="235"/>
      <c r="I4" s="236" t="s">
        <v>565</v>
      </c>
    </row>
    <row r="5" spans="1:9" s="237" customFormat="1" ht="22.5" customHeight="1" x14ac:dyDescent="0.2">
      <c r="A5" s="1534" t="s">
        <v>72</v>
      </c>
      <c r="B5" s="1536" t="s">
        <v>85</v>
      </c>
      <c r="C5" s="1534" t="s">
        <v>86</v>
      </c>
      <c r="D5" s="1534" t="s">
        <v>818</v>
      </c>
      <c r="E5" s="1538" t="s">
        <v>71</v>
      </c>
      <c r="F5" s="1539"/>
      <c r="G5" s="1539"/>
      <c r="H5" s="1540"/>
      <c r="I5" s="1536" t="s">
        <v>53</v>
      </c>
    </row>
    <row r="6" spans="1:9" s="238" customFormat="1" ht="17.25" customHeight="1" thickBot="1" x14ac:dyDescent="0.25">
      <c r="A6" s="1535"/>
      <c r="B6" s="1537"/>
      <c r="C6" s="1537"/>
      <c r="D6" s="1535"/>
      <c r="E6" s="1245">
        <v>2020</v>
      </c>
      <c r="F6" s="1245">
        <v>2021</v>
      </c>
      <c r="G6" s="1245">
        <v>2022</v>
      </c>
      <c r="H6" s="1246" t="s">
        <v>819</v>
      </c>
      <c r="I6" s="1537"/>
    </row>
    <row r="7" spans="1:9" s="239" customFormat="1" ht="18" customHeight="1" thickBot="1" x14ac:dyDescent="0.25">
      <c r="A7" s="1247">
        <v>1</v>
      </c>
      <c r="B7" s="1248">
        <v>2</v>
      </c>
      <c r="C7" s="1249">
        <v>3</v>
      </c>
      <c r="D7" s="1250">
        <v>4</v>
      </c>
      <c r="E7" s="1247">
        <v>5</v>
      </c>
      <c r="F7" s="1251">
        <v>6</v>
      </c>
      <c r="G7" s="1251">
        <v>7</v>
      </c>
      <c r="H7" s="1252">
        <v>8</v>
      </c>
      <c r="I7" s="1253" t="s">
        <v>87</v>
      </c>
    </row>
    <row r="8" spans="1:9" ht="24.75" customHeight="1" x14ac:dyDescent="0.2">
      <c r="A8" s="1254" t="s">
        <v>21</v>
      </c>
      <c r="B8" s="1255" t="s">
        <v>942</v>
      </c>
      <c r="C8" s="1256">
        <v>2020</v>
      </c>
      <c r="D8" s="1257">
        <v>0</v>
      </c>
      <c r="E8" s="1257">
        <v>0</v>
      </c>
      <c r="F8" s="1257">
        <v>0</v>
      </c>
      <c r="G8" s="1257">
        <v>0</v>
      </c>
      <c r="H8" s="1257">
        <v>0</v>
      </c>
      <c r="I8" s="1258">
        <v>0</v>
      </c>
    </row>
    <row r="9" spans="1:9" ht="24.75" customHeight="1" thickBot="1" x14ac:dyDescent="0.25">
      <c r="A9" s="1259" t="s">
        <v>22</v>
      </c>
      <c r="B9" s="1260"/>
      <c r="C9" s="1261"/>
      <c r="D9" s="1262"/>
      <c r="E9" s="1262"/>
      <c r="F9" s="1262"/>
      <c r="G9" s="1262"/>
      <c r="H9" s="1262"/>
      <c r="I9" s="1263"/>
    </row>
    <row r="10" spans="1:9" ht="24" customHeight="1" thickBot="1" x14ac:dyDescent="0.25">
      <c r="A10" s="1264" t="s">
        <v>23</v>
      </c>
      <c r="B10" s="1265" t="s">
        <v>11</v>
      </c>
      <c r="C10" s="1266"/>
      <c r="D10" s="1267"/>
      <c r="E10" s="1267"/>
      <c r="F10" s="1267"/>
      <c r="G10" s="1267"/>
      <c r="H10" s="1268"/>
      <c r="I10" s="1269"/>
    </row>
    <row r="11" spans="1:9" ht="32.25" customHeight="1" x14ac:dyDescent="0.2">
      <c r="A11" s="1254" t="s">
        <v>24</v>
      </c>
      <c r="B11" s="1046" t="s">
        <v>566</v>
      </c>
      <c r="C11" s="1271">
        <v>2016</v>
      </c>
      <c r="D11" s="1272">
        <v>8888000</v>
      </c>
      <c r="E11" s="1273">
        <v>1806590</v>
      </c>
      <c r="F11" s="1273">
        <v>0</v>
      </c>
      <c r="G11" s="1274">
        <v>0</v>
      </c>
      <c r="H11" s="1274">
        <v>0</v>
      </c>
      <c r="I11" s="1275">
        <f t="shared" ref="I11:I26" si="0">SUM(D11:H11)</f>
        <v>10694590</v>
      </c>
    </row>
    <row r="12" spans="1:9" ht="33" customHeight="1" x14ac:dyDescent="0.2">
      <c r="A12" s="1270" t="s">
        <v>25</v>
      </c>
      <c r="B12" s="1046" t="s">
        <v>567</v>
      </c>
      <c r="C12" s="1271">
        <v>2016</v>
      </c>
      <c r="D12" s="1272">
        <v>2944000</v>
      </c>
      <c r="E12" s="1273">
        <v>1472000</v>
      </c>
      <c r="F12" s="1273">
        <v>1472000</v>
      </c>
      <c r="G12" s="1273">
        <v>1472000</v>
      </c>
      <c r="H12" s="1274">
        <v>2943000</v>
      </c>
      <c r="I12" s="1275">
        <f t="shared" si="0"/>
        <v>10303000</v>
      </c>
    </row>
    <row r="13" spans="1:9" ht="35.25" customHeight="1" x14ac:dyDescent="0.2">
      <c r="A13" s="1270" t="s">
        <v>26</v>
      </c>
      <c r="B13" s="1046" t="s">
        <v>568</v>
      </c>
      <c r="C13" s="1271">
        <v>2016</v>
      </c>
      <c r="D13" s="1272">
        <v>3104500</v>
      </c>
      <c r="E13" s="1272">
        <v>887000</v>
      </c>
      <c r="F13" s="1272">
        <v>443461</v>
      </c>
      <c r="G13" s="1272">
        <v>0</v>
      </c>
      <c r="H13" s="1272">
        <v>0</v>
      </c>
      <c r="I13" s="1275">
        <f t="shared" si="0"/>
        <v>4434961</v>
      </c>
    </row>
    <row r="14" spans="1:9" ht="30" customHeight="1" x14ac:dyDescent="0.2">
      <c r="A14" s="1270" t="s">
        <v>27</v>
      </c>
      <c r="B14" s="1046" t="s">
        <v>569</v>
      </c>
      <c r="C14" s="1271">
        <v>2016</v>
      </c>
      <c r="D14" s="1272">
        <v>3895500</v>
      </c>
      <c r="E14" s="1272">
        <v>1113000</v>
      </c>
      <c r="F14" s="1272">
        <v>556539</v>
      </c>
      <c r="G14" s="1272">
        <v>0</v>
      </c>
      <c r="H14" s="1272">
        <v>0</v>
      </c>
      <c r="I14" s="1275">
        <f t="shared" si="0"/>
        <v>5565039</v>
      </c>
    </row>
    <row r="15" spans="1:9" ht="30" customHeight="1" x14ac:dyDescent="0.2">
      <c r="A15" s="1270" t="s">
        <v>28</v>
      </c>
      <c r="B15" s="1046" t="s">
        <v>943</v>
      </c>
      <c r="C15" s="1271">
        <v>2017</v>
      </c>
      <c r="D15" s="1272">
        <v>4940000</v>
      </c>
      <c r="E15" s="1272">
        <v>4940000</v>
      </c>
      <c r="F15" s="1272">
        <v>4940000</v>
      </c>
      <c r="G15" s="1272">
        <v>4940000</v>
      </c>
      <c r="H15" s="1272">
        <v>21341155</v>
      </c>
      <c r="I15" s="1275">
        <f t="shared" si="0"/>
        <v>41101155</v>
      </c>
    </row>
    <row r="16" spans="1:9" ht="30" customHeight="1" x14ac:dyDescent="0.2">
      <c r="A16" s="1270" t="s">
        <v>29</v>
      </c>
      <c r="B16" s="1046" t="s">
        <v>574</v>
      </c>
      <c r="C16" s="1271">
        <v>2017</v>
      </c>
      <c r="D16" s="1272">
        <v>1464000</v>
      </c>
      <c r="E16" s="1272">
        <v>1464000</v>
      </c>
      <c r="F16" s="1272">
        <v>1464000</v>
      </c>
      <c r="G16" s="1272">
        <v>1108000</v>
      </c>
      <c r="H16" s="1272">
        <v>0</v>
      </c>
      <c r="I16" s="1275">
        <f t="shared" si="0"/>
        <v>5500000</v>
      </c>
    </row>
    <row r="17" spans="1:10" ht="30" customHeight="1" x14ac:dyDescent="0.2">
      <c r="A17" s="1270" t="s">
        <v>30</v>
      </c>
      <c r="B17" s="1046" t="s">
        <v>587</v>
      </c>
      <c r="C17" s="1271">
        <v>2018</v>
      </c>
      <c r="D17" s="1047">
        <v>492000</v>
      </c>
      <c r="E17" s="1273">
        <v>984000</v>
      </c>
      <c r="F17" s="1273">
        <v>984000</v>
      </c>
      <c r="G17" s="1273">
        <v>741452</v>
      </c>
      <c r="H17" s="1272">
        <v>0</v>
      </c>
      <c r="I17" s="1275">
        <f t="shared" si="0"/>
        <v>3201452</v>
      </c>
    </row>
    <row r="18" spans="1:10" ht="30" customHeight="1" x14ac:dyDescent="0.2">
      <c r="A18" s="1270" t="s">
        <v>31</v>
      </c>
      <c r="B18" s="1046" t="s">
        <v>698</v>
      </c>
      <c r="C18" s="1271">
        <v>2018</v>
      </c>
      <c r="D18" s="1047">
        <v>621000</v>
      </c>
      <c r="E18" s="1273">
        <v>1242000</v>
      </c>
      <c r="F18" s="1273">
        <v>1118946</v>
      </c>
      <c r="G18" s="1273">
        <v>0</v>
      </c>
      <c r="H18" s="1272">
        <v>0</v>
      </c>
      <c r="I18" s="1275">
        <f t="shared" si="0"/>
        <v>2981946</v>
      </c>
    </row>
    <row r="19" spans="1:10" ht="26.25" customHeight="1" x14ac:dyDescent="0.2">
      <c r="A19" s="1270" t="s">
        <v>32</v>
      </c>
      <c r="B19" s="1046" t="s">
        <v>586</v>
      </c>
      <c r="C19" s="1271">
        <v>2018</v>
      </c>
      <c r="D19" s="1047">
        <v>317500</v>
      </c>
      <c r="E19" s="1273">
        <v>1270000</v>
      </c>
      <c r="F19" s="1273">
        <v>1270000</v>
      </c>
      <c r="G19" s="1273">
        <v>1270000</v>
      </c>
      <c r="H19" s="1272">
        <v>741242</v>
      </c>
      <c r="I19" s="1275">
        <f t="shared" si="0"/>
        <v>4868742</v>
      </c>
    </row>
    <row r="20" spans="1:10" ht="30" customHeight="1" x14ac:dyDescent="0.2">
      <c r="A20" s="1270" t="s">
        <v>33</v>
      </c>
      <c r="B20" s="1046" t="s">
        <v>588</v>
      </c>
      <c r="C20" s="1271">
        <v>2018</v>
      </c>
      <c r="D20" s="1047">
        <v>834000</v>
      </c>
      <c r="E20" s="1273">
        <v>1668000</v>
      </c>
      <c r="F20" s="1273">
        <v>1668000</v>
      </c>
      <c r="G20" s="1273">
        <v>1668000</v>
      </c>
      <c r="H20" s="1272">
        <v>4057526</v>
      </c>
      <c r="I20" s="1275">
        <f t="shared" si="0"/>
        <v>9895526</v>
      </c>
    </row>
    <row r="21" spans="1:10" ht="30" customHeight="1" x14ac:dyDescent="0.2">
      <c r="A21" s="1270" t="s">
        <v>34</v>
      </c>
      <c r="B21" s="1046" t="s">
        <v>589</v>
      </c>
      <c r="C21" s="1271">
        <v>2018</v>
      </c>
      <c r="D21" s="1272">
        <v>0</v>
      </c>
      <c r="E21" s="1272">
        <v>1834504</v>
      </c>
      <c r="F21" s="1272">
        <v>1834504</v>
      </c>
      <c r="G21" s="1273">
        <v>1834504</v>
      </c>
      <c r="H21" s="1272">
        <v>3539250</v>
      </c>
      <c r="I21" s="1275">
        <f t="shared" si="0"/>
        <v>9042762</v>
      </c>
    </row>
    <row r="22" spans="1:10" ht="30" customHeight="1" x14ac:dyDescent="0.2">
      <c r="A22" s="1270" t="s">
        <v>35</v>
      </c>
      <c r="B22" s="1046" t="s">
        <v>699</v>
      </c>
      <c r="C22" s="1271">
        <v>2018</v>
      </c>
      <c r="D22" s="1272">
        <v>0</v>
      </c>
      <c r="E22" s="1272">
        <v>3171740</v>
      </c>
      <c r="F22" s="1272">
        <v>1848697</v>
      </c>
      <c r="G22" s="1273">
        <v>0</v>
      </c>
      <c r="H22" s="1272">
        <v>0</v>
      </c>
      <c r="I22" s="1275">
        <f t="shared" si="0"/>
        <v>5020437</v>
      </c>
    </row>
    <row r="23" spans="1:10" ht="20.100000000000001" customHeight="1" x14ac:dyDescent="0.2">
      <c r="A23" s="1270" t="s">
        <v>36</v>
      </c>
      <c r="B23" s="1276" t="s">
        <v>700</v>
      </c>
      <c r="C23" s="1277">
        <v>2018</v>
      </c>
      <c r="D23" s="1278">
        <v>0</v>
      </c>
      <c r="E23" s="1278">
        <v>2777600</v>
      </c>
      <c r="F23" s="1278">
        <v>2777600</v>
      </c>
      <c r="G23" s="1278">
        <v>2777600</v>
      </c>
      <c r="H23" s="1278">
        <v>16667200</v>
      </c>
      <c r="I23" s="1275">
        <f t="shared" si="0"/>
        <v>25000000</v>
      </c>
    </row>
    <row r="24" spans="1:10" ht="20.100000000000001" customHeight="1" x14ac:dyDescent="0.2">
      <c r="A24" s="1270" t="s">
        <v>37</v>
      </c>
      <c r="B24" s="1279" t="s">
        <v>701</v>
      </c>
      <c r="C24" s="1280">
        <v>2019</v>
      </c>
      <c r="D24" s="1281">
        <v>0</v>
      </c>
      <c r="E24" s="1281">
        <v>508000</v>
      </c>
      <c r="F24" s="1281">
        <v>1016000</v>
      </c>
      <c r="G24" s="1281">
        <v>1016000</v>
      </c>
      <c r="H24" s="1281">
        <v>1526909</v>
      </c>
      <c r="I24" s="1275">
        <f t="shared" si="0"/>
        <v>4066909</v>
      </c>
    </row>
    <row r="25" spans="1:10" ht="24" customHeight="1" x14ac:dyDescent="0.2">
      <c r="A25" s="1270" t="s">
        <v>38</v>
      </c>
      <c r="B25" s="1282" t="s">
        <v>702</v>
      </c>
      <c r="C25" s="1271">
        <v>2019</v>
      </c>
      <c r="D25" s="1272">
        <v>0</v>
      </c>
      <c r="E25" s="1272">
        <v>900000</v>
      </c>
      <c r="F25" s="1272">
        <v>3600000</v>
      </c>
      <c r="G25" s="1272">
        <v>3600000</v>
      </c>
      <c r="H25" s="1272">
        <v>9900000</v>
      </c>
      <c r="I25" s="1283">
        <f t="shared" si="0"/>
        <v>18000000</v>
      </c>
    </row>
    <row r="26" spans="1:10" ht="20.100000000000001" customHeight="1" x14ac:dyDescent="0.2">
      <c r="A26" s="1270" t="s">
        <v>39</v>
      </c>
      <c r="B26" s="1282" t="s">
        <v>920</v>
      </c>
      <c r="C26" s="1271">
        <v>2020</v>
      </c>
      <c r="D26" s="1272">
        <v>0</v>
      </c>
      <c r="E26" s="1272">
        <v>0</v>
      </c>
      <c r="F26" s="1272">
        <v>0</v>
      </c>
      <c r="G26" s="1272">
        <v>0</v>
      </c>
      <c r="H26" s="1272">
        <v>0</v>
      </c>
      <c r="I26" s="1283">
        <f t="shared" si="0"/>
        <v>0</v>
      </c>
      <c r="J26" s="240"/>
    </row>
    <row r="27" spans="1:10" ht="20.100000000000001" customHeight="1" x14ac:dyDescent="0.2">
      <c r="A27" s="1270" t="s">
        <v>40</v>
      </c>
      <c r="B27" s="1282" t="s">
        <v>921</v>
      </c>
      <c r="C27" s="1271">
        <v>2020</v>
      </c>
      <c r="D27" s="1272">
        <v>0</v>
      </c>
      <c r="E27" s="1272">
        <v>0</v>
      </c>
      <c r="F27" s="1272">
        <v>0</v>
      </c>
      <c r="G27" s="1272">
        <v>0</v>
      </c>
      <c r="H27" s="1272">
        <v>0</v>
      </c>
      <c r="I27" s="1283">
        <f>SUM(D27:H27)</f>
        <v>0</v>
      </c>
      <c r="J27" s="240"/>
    </row>
    <row r="28" spans="1:10" ht="20.100000000000001" customHeight="1" x14ac:dyDescent="0.2">
      <c r="A28" s="1270" t="s">
        <v>41</v>
      </c>
      <c r="B28" s="1404" t="s">
        <v>1034</v>
      </c>
      <c r="C28" s="1400">
        <v>2020</v>
      </c>
      <c r="D28" s="1401">
        <v>0</v>
      </c>
      <c r="E28" s="1401">
        <v>0</v>
      </c>
      <c r="F28" s="1401">
        <v>0</v>
      </c>
      <c r="G28" s="1401">
        <v>2300740</v>
      </c>
      <c r="H28" s="1401">
        <f>11503705-2300740</f>
        <v>9202965</v>
      </c>
      <c r="I28" s="1402">
        <f>SUM(D28:H28)</f>
        <v>11503705</v>
      </c>
      <c r="J28" s="240"/>
    </row>
    <row r="29" spans="1:10" ht="20.100000000000001" customHeight="1" thickBot="1" x14ac:dyDescent="0.25">
      <c r="A29" s="1406"/>
      <c r="B29" s="1405"/>
      <c r="C29" s="1280"/>
      <c r="D29" s="1281"/>
      <c r="E29" s="1281"/>
      <c r="F29" s="1281"/>
      <c r="G29" s="1281"/>
      <c r="H29" s="1281"/>
      <c r="I29" s="1263"/>
    </row>
    <row r="30" spans="1:10" ht="13.5" thickBot="1" x14ac:dyDescent="0.25">
      <c r="A30" s="1531" t="s">
        <v>54</v>
      </c>
      <c r="B30" s="1532"/>
      <c r="C30" s="1284"/>
      <c r="D30" s="1269">
        <f>SUM(D11:D29)</f>
        <v>27500500</v>
      </c>
      <c r="E30" s="1269">
        <f t="shared" ref="E30:I30" si="1">SUM(E11:E29)</f>
        <v>26038434</v>
      </c>
      <c r="F30" s="1269">
        <f t="shared" si="1"/>
        <v>24993747</v>
      </c>
      <c r="G30" s="1269">
        <f t="shared" si="1"/>
        <v>22728296</v>
      </c>
      <c r="H30" s="1269">
        <f t="shared" si="1"/>
        <v>69919247</v>
      </c>
      <c r="I30" s="1269">
        <f t="shared" si="1"/>
        <v>171180224</v>
      </c>
    </row>
    <row r="31" spans="1:10" ht="15" x14ac:dyDescent="0.25">
      <c r="B31" s="905" t="s">
        <v>529</v>
      </c>
      <c r="C31" s="709"/>
      <c r="D31" s="905"/>
      <c r="E31" s="905"/>
      <c r="F31" s="905"/>
      <c r="G31" s="905"/>
      <c r="H31" s="905"/>
    </row>
    <row r="33" spans="2:8" ht="15.75" x14ac:dyDescent="0.2">
      <c r="B33" s="473"/>
    </row>
    <row r="34" spans="2:8" ht="15.75" x14ac:dyDescent="0.2">
      <c r="B34" s="708"/>
      <c r="C34" s="710"/>
      <c r="D34" s="241"/>
      <c r="E34" s="241"/>
      <c r="F34" s="241"/>
      <c r="G34" s="241"/>
      <c r="H34" s="241"/>
    </row>
    <row r="35" spans="2:8" x14ac:dyDescent="0.2">
      <c r="B35" s="241"/>
      <c r="C35" s="711"/>
    </row>
    <row r="36" spans="2:8" x14ac:dyDescent="0.2">
      <c r="B36" s="241"/>
      <c r="C36" s="711"/>
    </row>
    <row r="37" spans="2:8" x14ac:dyDescent="0.2">
      <c r="B37" s="241"/>
      <c r="C37" s="712"/>
    </row>
    <row r="38" spans="2:8" x14ac:dyDescent="0.2">
      <c r="B38" s="1403"/>
      <c r="C38" s="711"/>
    </row>
    <row r="39" spans="2:8" x14ac:dyDescent="0.2">
      <c r="B39" s="241"/>
      <c r="C39" s="711"/>
    </row>
    <row r="40" spans="2:8" x14ac:dyDescent="0.2">
      <c r="B40" s="241"/>
      <c r="C40" s="711"/>
    </row>
    <row r="41" spans="2:8" x14ac:dyDescent="0.2">
      <c r="B41" s="241"/>
      <c r="C41" s="711"/>
    </row>
    <row r="42" spans="2:8" x14ac:dyDescent="0.2">
      <c r="B42" s="241"/>
      <c r="C42" s="711"/>
    </row>
    <row r="43" spans="2:8" x14ac:dyDescent="0.2">
      <c r="B43" s="241"/>
      <c r="C43" s="711"/>
    </row>
    <row r="44" spans="2:8" ht="17.25" customHeight="1" x14ac:dyDescent="0.2">
      <c r="B44" s="242"/>
      <c r="C44" s="712"/>
    </row>
    <row r="45" spans="2:8" x14ac:dyDescent="0.2">
      <c r="B45" s="241"/>
    </row>
    <row r="46" spans="2:8" x14ac:dyDescent="0.2">
      <c r="B46" s="243"/>
      <c r="C46" s="712"/>
    </row>
    <row r="47" spans="2:8" x14ac:dyDescent="0.2">
      <c r="C47" s="711"/>
      <c r="D47" s="1009"/>
    </row>
    <row r="48" spans="2:8" x14ac:dyDescent="0.2">
      <c r="C48" s="711"/>
      <c r="D48" s="1009"/>
    </row>
    <row r="49" spans="2:4" x14ac:dyDescent="0.2">
      <c r="C49" s="711"/>
      <c r="D49" s="1009"/>
    </row>
    <row r="51" spans="2:4" x14ac:dyDescent="0.2">
      <c r="B51" s="243"/>
      <c r="C51" s="712"/>
    </row>
    <row r="52" spans="2:4" x14ac:dyDescent="0.2">
      <c r="D52" s="1009"/>
    </row>
    <row r="53" spans="2:4" x14ac:dyDescent="0.2">
      <c r="D53" s="1009"/>
    </row>
    <row r="54" spans="2:4" x14ac:dyDescent="0.2">
      <c r="D54" s="1009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Munka48"/>
  <dimension ref="A1:D33"/>
  <sheetViews>
    <sheetView workbookViewId="0">
      <selection activeCell="I16" sqref="I16"/>
    </sheetView>
  </sheetViews>
  <sheetFormatPr defaultRowHeight="12.75" x14ac:dyDescent="0.2"/>
  <cols>
    <col min="1" max="1" width="5.83203125" style="1029" customWidth="1"/>
    <col min="2" max="2" width="54.83203125" style="1006" customWidth="1"/>
    <col min="3" max="4" width="17.6640625" style="1006" customWidth="1"/>
    <col min="5" max="16384" width="9.33203125" style="1006"/>
  </cols>
  <sheetData>
    <row r="1" spans="1:4" x14ac:dyDescent="0.2">
      <c r="A1" s="1542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42"/>
      <c r="C1" s="1542"/>
      <c r="D1" s="1542"/>
    </row>
    <row r="3" spans="1:4" ht="31.5" customHeight="1" x14ac:dyDescent="0.25">
      <c r="B3" s="1543" t="s">
        <v>618</v>
      </c>
      <c r="C3" s="1543"/>
      <c r="D3" s="1543"/>
    </row>
    <row r="4" spans="1:4" s="34" customFormat="1" ht="16.5" thickBot="1" x14ac:dyDescent="0.3">
      <c r="A4" s="529"/>
      <c r="B4" s="1233" t="s">
        <v>710</v>
      </c>
      <c r="D4" s="530" t="s">
        <v>557</v>
      </c>
    </row>
    <row r="5" spans="1:4" s="1028" customFormat="1" ht="48" customHeight="1" thickBot="1" x14ac:dyDescent="0.25">
      <c r="A5" s="531" t="s">
        <v>19</v>
      </c>
      <c r="B5" s="527" t="s">
        <v>20</v>
      </c>
      <c r="C5" s="527" t="s">
        <v>619</v>
      </c>
      <c r="D5" s="528" t="s">
        <v>620</v>
      </c>
    </row>
    <row r="6" spans="1:4" s="1028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621</v>
      </c>
      <c r="C7" s="535"/>
      <c r="D7" s="536"/>
    </row>
    <row r="8" spans="1:4" ht="18" customHeight="1" x14ac:dyDescent="0.2">
      <c r="A8" s="537" t="s">
        <v>22</v>
      </c>
      <c r="B8" s="538" t="s">
        <v>622</v>
      </c>
      <c r="C8" s="539"/>
      <c r="D8" s="1194"/>
    </row>
    <row r="9" spans="1:4" ht="18" customHeight="1" x14ac:dyDescent="0.2">
      <c r="A9" s="537" t="s">
        <v>23</v>
      </c>
      <c r="B9" s="538" t="s">
        <v>623</v>
      </c>
      <c r="C9" s="539"/>
      <c r="D9" s="1194"/>
    </row>
    <row r="10" spans="1:4" ht="18" customHeight="1" x14ac:dyDescent="0.2">
      <c r="A10" s="537" t="s">
        <v>24</v>
      </c>
      <c r="B10" s="538" t="s">
        <v>624</v>
      </c>
      <c r="C10" s="539"/>
      <c r="D10" s="1194"/>
    </row>
    <row r="11" spans="1:4" ht="18" customHeight="1" x14ac:dyDescent="0.2">
      <c r="A11" s="537" t="s">
        <v>25</v>
      </c>
      <c r="B11" s="538" t="s">
        <v>625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626</v>
      </c>
      <c r="C12" s="539"/>
      <c r="D12" s="1194"/>
    </row>
    <row r="13" spans="1:4" ht="18" customHeight="1" x14ac:dyDescent="0.2">
      <c r="A13" s="537" t="s">
        <v>27</v>
      </c>
      <c r="B13" s="542" t="s">
        <v>627</v>
      </c>
      <c r="C13" s="539"/>
      <c r="D13" s="1194"/>
    </row>
    <row r="14" spans="1:4" ht="18" customHeight="1" x14ac:dyDescent="0.2">
      <c r="A14" s="537" t="s">
        <v>29</v>
      </c>
      <c r="B14" s="542" t="s">
        <v>628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629</v>
      </c>
      <c r="C15" s="539"/>
      <c r="D15" s="1194"/>
    </row>
    <row r="16" spans="1:4" ht="18" customHeight="1" x14ac:dyDescent="0.2">
      <c r="A16" s="537" t="s">
        <v>31</v>
      </c>
      <c r="B16" s="542" t="s">
        <v>630</v>
      </c>
      <c r="C16" s="539"/>
      <c r="D16" s="1194"/>
    </row>
    <row r="17" spans="1:4" ht="22.5" customHeight="1" x14ac:dyDescent="0.2">
      <c r="A17" s="537" t="s">
        <v>32</v>
      </c>
      <c r="B17" s="542" t="s">
        <v>631</v>
      </c>
      <c r="C17" s="539"/>
      <c r="D17" s="1194"/>
    </row>
    <row r="18" spans="1:4" ht="18" customHeight="1" x14ac:dyDescent="0.2">
      <c r="A18" s="537" t="s">
        <v>33</v>
      </c>
      <c r="B18" s="538" t="s">
        <v>632</v>
      </c>
      <c r="C18" s="539"/>
      <c r="D18" s="1194"/>
    </row>
    <row r="19" spans="1:4" ht="18" customHeight="1" x14ac:dyDescent="0.2">
      <c r="A19" s="537" t="s">
        <v>34</v>
      </c>
      <c r="B19" s="538" t="s">
        <v>633</v>
      </c>
      <c r="C19" s="539"/>
      <c r="D19" s="1194"/>
    </row>
    <row r="20" spans="1:4" ht="18" customHeight="1" x14ac:dyDescent="0.2">
      <c r="A20" s="537" t="s">
        <v>35</v>
      </c>
      <c r="B20" s="538" t="s">
        <v>634</v>
      </c>
      <c r="C20" s="539"/>
      <c r="D20" s="1194"/>
    </row>
    <row r="21" spans="1:4" ht="18" customHeight="1" x14ac:dyDescent="0.2">
      <c r="A21" s="537" t="s">
        <v>36</v>
      </c>
      <c r="B21" s="538" t="s">
        <v>635</v>
      </c>
      <c r="C21" s="539"/>
      <c r="D21" s="1194"/>
    </row>
    <row r="22" spans="1:4" ht="18" customHeight="1" x14ac:dyDescent="0.2">
      <c r="A22" s="537" t="s">
        <v>37</v>
      </c>
      <c r="B22" s="538" t="s">
        <v>636</v>
      </c>
      <c r="C22" s="539"/>
      <c r="D22" s="1194"/>
    </row>
    <row r="23" spans="1:4" ht="18" customHeight="1" x14ac:dyDescent="0.2">
      <c r="A23" s="537" t="s">
        <v>38</v>
      </c>
      <c r="B23" s="544"/>
      <c r="C23" s="36"/>
      <c r="D23" s="1194"/>
    </row>
    <row r="24" spans="1:4" ht="18" customHeight="1" x14ac:dyDescent="0.2">
      <c r="A24" s="537" t="s">
        <v>39</v>
      </c>
      <c r="B24" s="545"/>
      <c r="C24" s="36"/>
      <c r="D24" s="1194"/>
    </row>
    <row r="25" spans="1:4" ht="18" customHeight="1" x14ac:dyDescent="0.2">
      <c r="A25" s="537" t="s">
        <v>40</v>
      </c>
      <c r="B25" s="545"/>
      <c r="C25" s="36"/>
      <c r="D25" s="1194"/>
    </row>
    <row r="26" spans="1:4" ht="18" customHeight="1" x14ac:dyDescent="0.2">
      <c r="A26" s="537" t="s">
        <v>41</v>
      </c>
      <c r="B26" s="545"/>
      <c r="C26" s="36"/>
      <c r="D26" s="1194"/>
    </row>
    <row r="27" spans="1:4" ht="18" customHeight="1" x14ac:dyDescent="0.2">
      <c r="A27" s="537" t="s">
        <v>42</v>
      </c>
      <c r="B27" s="545"/>
      <c r="C27" s="36"/>
      <c r="D27" s="1194"/>
    </row>
    <row r="28" spans="1:4" ht="18" customHeight="1" x14ac:dyDescent="0.2">
      <c r="A28" s="537" t="s">
        <v>43</v>
      </c>
      <c r="B28" s="545"/>
      <c r="C28" s="36"/>
      <c r="D28" s="1194"/>
    </row>
    <row r="29" spans="1:4" ht="18" customHeight="1" x14ac:dyDescent="0.2">
      <c r="A29" s="537" t="s">
        <v>44</v>
      </c>
      <c r="B29" s="545"/>
      <c r="C29" s="36"/>
      <c r="D29" s="1194"/>
    </row>
    <row r="30" spans="1:4" ht="18" customHeight="1" x14ac:dyDescent="0.2">
      <c r="A30" s="537" t="s">
        <v>45</v>
      </c>
      <c r="B30" s="545"/>
      <c r="C30" s="36"/>
      <c r="D30" s="1194"/>
    </row>
    <row r="31" spans="1:4" ht="18" customHeight="1" thickBot="1" x14ac:dyDescent="0.25">
      <c r="A31" s="546" t="s">
        <v>46</v>
      </c>
      <c r="B31" s="547"/>
      <c r="C31" s="548"/>
      <c r="D31" s="1195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34"/>
      <c r="B33" s="1544"/>
      <c r="C33" s="1544"/>
      <c r="D33" s="1544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0" t="str">
        <f>CONCATENATE("4. melléklet"," ",ALAPADATOK!A7," ",ALAPADATOK!B7," ",ALAPADATOK!C7," ",ALAPADATOK!D7," ",ALAPADATOK!E7," ",ALAPADATOK!F7," ",ALAPADATOK!G7," ",ALAPADATOK!H7)</f>
        <v>4. melléklet a  / 2020. (  ) önkormányzati rendelethez</v>
      </c>
      <c r="B1" s="1460"/>
      <c r="C1" s="1460"/>
    </row>
    <row r="2" spans="1:3" s="1078" customFormat="1" x14ac:dyDescent="0.25">
      <c r="A2" s="904"/>
      <c r="B2" s="904"/>
      <c r="C2" s="904"/>
    </row>
    <row r="3" spans="1:3" s="849" customFormat="1" x14ac:dyDescent="0.25">
      <c r="A3" s="1453" t="str">
        <f>CONCATENATE(ALAPADATOK!A3)</f>
        <v>Tiszavasvári Város Önkormányzat</v>
      </c>
      <c r="B3" s="1453"/>
      <c r="C3" s="1453"/>
    </row>
    <row r="4" spans="1:3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3" s="849" customFormat="1" x14ac:dyDescent="0.25">
      <c r="A5" s="1454" t="s">
        <v>894</v>
      </c>
      <c r="B5" s="1454"/>
      <c r="C5" s="1454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7" t="s">
        <v>18</v>
      </c>
      <c r="B7" s="1457"/>
      <c r="C7" s="1457"/>
    </row>
    <row r="8" spans="1:3" ht="15.95" customHeight="1" thickBot="1" x14ac:dyDescent="0.3">
      <c r="A8" s="1456" t="s">
        <v>128</v>
      </c>
      <c r="B8" s="1456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786</v>
      </c>
    </row>
    <row r="10" spans="1:3" s="191" customFormat="1" ht="12" customHeight="1" thickBot="1" x14ac:dyDescent="0.25">
      <c r="A10" s="185" t="s">
        <v>446</v>
      </c>
      <c r="B10" s="1237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+C12+C13+C14+C17+C18+C19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998</v>
      </c>
      <c r="C14" s="118"/>
    </row>
    <row r="15" spans="1:3" s="192" customFormat="1" ht="12" customHeight="1" x14ac:dyDescent="0.2">
      <c r="A15" s="11" t="s">
        <v>996</v>
      </c>
      <c r="B15" s="194" t="s">
        <v>999</v>
      </c>
      <c r="C15" s="118"/>
    </row>
    <row r="16" spans="1:3" s="192" customFormat="1" ht="12" customHeight="1" x14ac:dyDescent="0.2">
      <c r="A16" s="11" t="s">
        <v>997</v>
      </c>
      <c r="B16" s="194" t="s">
        <v>1000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655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651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650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6925000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f>5000000</f>
        <v>5000000</v>
      </c>
    </row>
    <row r="45" spans="1:3" s="192" customFormat="1" ht="12" customHeight="1" x14ac:dyDescent="0.2">
      <c r="A45" s="11" t="s">
        <v>94</v>
      </c>
      <c r="B45" s="194" t="s">
        <v>224</v>
      </c>
      <c r="C45" s="121">
        <f>200000</f>
        <v>200000</v>
      </c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f>1485000</f>
        <v>1485000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300000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>
        <f>300000</f>
        <v>300000</v>
      </c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57" t="s">
        <v>49</v>
      </c>
      <c r="B97" s="1457"/>
      <c r="C97" s="1457"/>
    </row>
    <row r="98" spans="1:3" s="202" customFormat="1" ht="16.5" customHeight="1" thickBot="1" x14ac:dyDescent="0.3">
      <c r="A98" s="1458" t="s">
        <v>129</v>
      </c>
      <c r="B98" s="1458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231852797</v>
      </c>
    </row>
    <row r="102" spans="1:3" ht="12" customHeight="1" x14ac:dyDescent="0.25">
      <c r="A102" s="14" t="s">
        <v>99</v>
      </c>
      <c r="B102" s="7" t="s">
        <v>51</v>
      </c>
      <c r="C102" s="1142">
        <f>160333055-1643792+926066</f>
        <v>159615329</v>
      </c>
    </row>
    <row r="103" spans="1:3" ht="12" customHeight="1" x14ac:dyDescent="0.25">
      <c r="A103" s="11" t="s">
        <v>100</v>
      </c>
      <c r="B103" s="5" t="s">
        <v>148</v>
      </c>
      <c r="C103" s="1212">
        <f>31982807-308003-556164</f>
        <v>31118640</v>
      </c>
    </row>
    <row r="104" spans="1:3" ht="12" customHeight="1" x14ac:dyDescent="0.25">
      <c r="A104" s="11" t="s">
        <v>101</v>
      </c>
      <c r="B104" s="5" t="s">
        <v>124</v>
      </c>
      <c r="C104" s="1172">
        <f>39911528+1207300</f>
        <v>41118828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4817400</v>
      </c>
    </row>
    <row r="123" spans="1:3" ht="12" customHeight="1" x14ac:dyDescent="0.25">
      <c r="A123" s="12" t="s">
        <v>105</v>
      </c>
      <c r="B123" s="5" t="s">
        <v>172</v>
      </c>
      <c r="C123" s="231">
        <v>4817400</v>
      </c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236670197</v>
      </c>
    </row>
    <row r="163" spans="1:6" ht="7.5" customHeight="1" x14ac:dyDescent="0.25"/>
    <row r="164" spans="1:6" x14ac:dyDescent="0.25">
      <c r="A164" s="1454" t="s">
        <v>321</v>
      </c>
      <c r="B164" s="1454"/>
      <c r="C164" s="1454"/>
    </row>
    <row r="165" spans="1:6" ht="15" customHeight="1" thickBot="1" x14ac:dyDescent="0.3">
      <c r="A165" s="1456" t="s">
        <v>130</v>
      </c>
      <c r="B165" s="1456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991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Munka49"/>
  <dimension ref="A1:Q84"/>
  <sheetViews>
    <sheetView topLeftCell="A16" zoomScalePageLayoutView="85" workbookViewId="0">
      <selection activeCell="L37" sqref="L37"/>
    </sheetView>
  </sheetViews>
  <sheetFormatPr defaultRowHeight="15.75" x14ac:dyDescent="0.25"/>
  <cols>
    <col min="1" max="1" width="4.83203125" style="43" customWidth="1"/>
    <col min="2" max="2" width="31.1640625" style="1011" customWidth="1"/>
    <col min="3" max="3" width="12.6640625" style="1011" bestFit="1" customWidth="1"/>
    <col min="4" max="4" width="11.1640625" style="1011" bestFit="1" customWidth="1"/>
    <col min="5" max="5" width="12.6640625" style="1011" bestFit="1" customWidth="1"/>
    <col min="6" max="8" width="11.83203125" style="1011" bestFit="1" customWidth="1"/>
    <col min="9" max="9" width="12.6640625" style="1011" bestFit="1" customWidth="1"/>
    <col min="10" max="10" width="11.83203125" style="1011" bestFit="1" customWidth="1"/>
    <col min="11" max="11" width="12.6640625" style="1011" bestFit="1" customWidth="1"/>
    <col min="12" max="12" width="11.83203125" style="1011" bestFit="1" customWidth="1"/>
    <col min="13" max="13" width="11.6640625" style="1011" customWidth="1"/>
    <col min="14" max="14" width="11.83203125" style="1011" bestFit="1" customWidth="1"/>
    <col min="15" max="15" width="12.6640625" style="497" customWidth="1"/>
    <col min="16" max="16" width="14.6640625" style="1020" hidden="1" customWidth="1"/>
    <col min="17" max="17" width="16.6640625" style="1020" hidden="1" customWidth="1"/>
    <col min="18" max="18" width="9.33203125" style="1011" customWidth="1"/>
    <col min="19" max="16384" width="9.33203125" style="1011"/>
  </cols>
  <sheetData>
    <row r="1" spans="1:17" x14ac:dyDescent="0.25">
      <c r="A1" s="1545" t="str">
        <f>CONCATENATE("26. melléklet"," ",ALAPADATOK!A7," ",ALAPADATOK!B7," ",ALAPADATOK!C7," ",ALAPADATOK!D7," ",ALAPADATOK!E7," ",ALAPADATOK!F7," ",ALAPADATOK!G7," ",ALAPADATOK!H7)</f>
        <v>26. melléklet a  / 2020. (  ) önkormányzati rendelethez</v>
      </c>
      <c r="B1" s="1545"/>
      <c r="C1" s="1545"/>
      <c r="D1" s="1545"/>
      <c r="E1" s="1545"/>
      <c r="F1" s="1545"/>
      <c r="G1" s="1545"/>
      <c r="H1" s="1545"/>
      <c r="I1" s="1545"/>
      <c r="J1" s="1545"/>
      <c r="K1" s="1545"/>
      <c r="L1" s="1545"/>
      <c r="M1" s="1545"/>
      <c r="N1" s="1545"/>
      <c r="O1" s="1545"/>
    </row>
    <row r="2" spans="1:17" x14ac:dyDescent="0.25">
      <c r="A2" s="1235"/>
      <c r="B2" s="1235"/>
      <c r="C2" s="1235"/>
      <c r="D2" s="1235"/>
      <c r="E2" s="1235"/>
      <c r="F2" s="1235"/>
      <c r="G2" s="1235"/>
      <c r="H2" s="1235"/>
      <c r="I2" s="1235"/>
      <c r="J2" s="1235"/>
      <c r="K2" s="1235"/>
      <c r="L2" s="1235"/>
      <c r="M2" s="1235"/>
      <c r="N2" s="1235"/>
      <c r="O2" s="1419" t="s">
        <v>1027</v>
      </c>
    </row>
    <row r="3" spans="1:17" ht="31.5" customHeight="1" x14ac:dyDescent="0.25">
      <c r="A3" s="1546" t="s">
        <v>944</v>
      </c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</row>
    <row r="4" spans="1:17" ht="16.5" thickBot="1" x14ac:dyDescent="0.3">
      <c r="O4" s="495" t="s">
        <v>555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48" t="s">
        <v>58</v>
      </c>
      <c r="C6" s="1549"/>
      <c r="D6" s="1549"/>
      <c r="E6" s="1549"/>
      <c r="F6" s="1549"/>
      <c r="G6" s="1549"/>
      <c r="H6" s="1549"/>
      <c r="I6" s="1549"/>
      <c r="J6" s="1549"/>
      <c r="K6" s="1549"/>
      <c r="L6" s="1549"/>
      <c r="M6" s="1549"/>
      <c r="N6" s="1549"/>
      <c r="O6" s="1550"/>
      <c r="P6" s="413"/>
      <c r="Q6" s="413"/>
    </row>
    <row r="7" spans="1:17" s="45" customFormat="1" ht="22.5" x14ac:dyDescent="0.2">
      <c r="A7" s="46" t="s">
        <v>22</v>
      </c>
      <c r="B7" s="233" t="s">
        <v>322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</f>
        <v>187072410</v>
      </c>
      <c r="O7" s="416">
        <f t="shared" ref="O7:O15" si="0">SUM(C7:N7)</f>
        <v>1492762052</v>
      </c>
      <c r="P7" s="414">
        <f>'1.1.sz.mell. '!C11</f>
        <v>1492762052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366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>
        <v>3233098</v>
      </c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43">
        <f t="shared" si="0"/>
        <v>341203773</v>
      </c>
      <c r="P8" s="417">
        <f>'1.1.sz.mell. '!C20</f>
        <v>341203773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367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>
        <v>261850662</v>
      </c>
      <c r="J9" s="250">
        <v>10000000</v>
      </c>
      <c r="K9" s="250">
        <f>22409566-9719732-2432050</f>
        <v>10257784</v>
      </c>
      <c r="L9" s="250"/>
      <c r="M9" s="250"/>
      <c r="N9" s="250"/>
      <c r="O9" s="1143">
        <f t="shared" si="0"/>
        <v>312308446</v>
      </c>
      <c r="P9" s="417">
        <f>'1.1.sz.mell. '!C27</f>
        <v>312308446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139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>O10-P10</f>
        <v>0</v>
      </c>
    </row>
    <row r="11" spans="1:17" s="49" customFormat="1" ht="14.1" customHeight="1" x14ac:dyDescent="0.2">
      <c r="A11" s="47" t="s">
        <v>26</v>
      </c>
      <c r="B11" s="108" t="s">
        <v>368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</f>
        <v>30074000</v>
      </c>
      <c r="O11" s="416">
        <f t="shared" si="0"/>
        <v>339351277</v>
      </c>
      <c r="P11" s="417">
        <f>'1.1.sz.mell. '!C42</f>
        <v>339351277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324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416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354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6">
        <f t="shared" si="0"/>
        <v>6000000</v>
      </c>
      <c r="P14" s="417">
        <f>'1.1.sz.mell. '!C65</f>
        <v>6000000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70000000-2540000+45672254-8841285</f>
        <v>104290969</v>
      </c>
      <c r="O15" s="416">
        <f t="shared" si="0"/>
        <v>1743878152</v>
      </c>
      <c r="P15" s="419">
        <f>'1.1.sz.mell. '!C94</f>
        <v>1743878152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110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565681439</v>
      </c>
      <c r="J16" s="50">
        <f t="shared" si="2"/>
        <v>391612983</v>
      </c>
      <c r="K16" s="50">
        <f t="shared" si="2"/>
        <v>523483127</v>
      </c>
      <c r="L16" s="50">
        <f t="shared" si="2"/>
        <v>157078857</v>
      </c>
      <c r="M16" s="50">
        <f t="shared" si="2"/>
        <v>283772544</v>
      </c>
      <c r="N16" s="50">
        <f t="shared" si="2"/>
        <v>400535003</v>
      </c>
      <c r="O16" s="1219">
        <f>SUM(C16:N16)</f>
        <v>4785647283</v>
      </c>
      <c r="P16" s="421">
        <f>SUM(P7:P15)</f>
        <v>4785647283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48" t="s">
        <v>59</v>
      </c>
      <c r="C17" s="1549"/>
      <c r="D17" s="1549"/>
      <c r="E17" s="1549"/>
      <c r="F17" s="1549"/>
      <c r="G17" s="1549"/>
      <c r="H17" s="1549"/>
      <c r="I17" s="1549"/>
      <c r="J17" s="1549"/>
      <c r="K17" s="1549"/>
      <c r="L17" s="1549"/>
      <c r="M17" s="1549"/>
      <c r="N17" s="1549"/>
      <c r="O17" s="1550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</f>
        <v>105177855</v>
      </c>
      <c r="K18" s="426">
        <f>100000000+2570000+175600-265990+2698245+483000</f>
        <v>105660855</v>
      </c>
      <c r="L18" s="426">
        <f>100000000+2570000+175600-265990+2698246-980640</f>
        <v>104197216</v>
      </c>
      <c r="M18" s="426">
        <f>100000000+2570000+175600-265990+2698246-980640</f>
        <v>104197216</v>
      </c>
      <c r="N18" s="426">
        <f>100000000+2569241+175315-265990+2698247-980641-457270</f>
        <v>103738902</v>
      </c>
      <c r="O18" s="1143">
        <f t="shared" ref="O18:O28" si="3">SUM(C18:N18)</f>
        <v>1217602544</v>
      </c>
      <c r="P18" s="499">
        <f>'1.1.sz.mell. '!C102</f>
        <v>1217602544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148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19000000+450000+35400+486138-669017</f>
        <v>19302521</v>
      </c>
      <c r="M19" s="249">
        <f>19000000+450000+35400+486138-669017</f>
        <v>19302521</v>
      </c>
      <c r="N19" s="249">
        <f>19000000+448118+35279+486138-669018+457270</f>
        <v>19757787</v>
      </c>
      <c r="O19" s="1143">
        <f t="shared" si="3"/>
        <v>229344560</v>
      </c>
      <c r="P19" s="499">
        <f>'1.1.sz.mell. '!C103</f>
        <v>229344560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124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85000000-649147-1287358+14216853</f>
        <v>97280348</v>
      </c>
      <c r="O20" s="1143">
        <f t="shared" si="3"/>
        <v>936651720</v>
      </c>
      <c r="P20" s="499">
        <f>'1.1.sz.mell. '!C104</f>
        <v>936651720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149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416">
        <f t="shared" si="3"/>
        <v>214672293</v>
      </c>
      <c r="P22" s="417">
        <f>'1.1.sz.mell. '!C106</f>
        <v>214672293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172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5894079-1890853-15125</f>
        <v>3988101</v>
      </c>
      <c r="O23" s="1143">
        <f t="shared" si="3"/>
        <v>675620518</v>
      </c>
      <c r="P23" s="417">
        <f>'1.1.sz.mell. '!C123</f>
        <v>675620518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152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f>20000000+262957237</f>
        <v>282957237</v>
      </c>
      <c r="O24" s="1143">
        <f t="shared" si="3"/>
        <v>529726963</v>
      </c>
      <c r="P24" s="417">
        <f>'1.1.sz.mell. '!C125</f>
        <v>529726963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174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17740838+770000+2500000+3068354</f>
        <v>24079192</v>
      </c>
      <c r="L26" s="249">
        <f>19000000+770000+2500000+3068353</f>
        <v>25338353</v>
      </c>
      <c r="M26" s="249">
        <f>19000000+770000+2500000+3068353</f>
        <v>25338353</v>
      </c>
      <c r="N26" s="249">
        <f>20000000+744615+2363551+3068354-12075205</f>
        <v>14101315</v>
      </c>
      <c r="O26" s="1143">
        <f t="shared" si="3"/>
        <v>142139277</v>
      </c>
      <c r="P26" s="417">
        <f>'1.1.sz.mell. '!C119</f>
        <v>142139277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6">
        <f t="shared" si="3"/>
        <v>771710688</v>
      </c>
      <c r="P27" s="419">
        <f>'1.1.sz.mell. '!C161</f>
        <v>771710688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111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515510505</v>
      </c>
      <c r="K28" s="50">
        <f t="shared" si="4"/>
        <v>448628224</v>
      </c>
      <c r="L28" s="50">
        <f t="shared" si="4"/>
        <v>429550731</v>
      </c>
      <c r="M28" s="50">
        <f t="shared" si="4"/>
        <v>285279451</v>
      </c>
      <c r="N28" s="50">
        <f t="shared" si="4"/>
        <v>629861648</v>
      </c>
      <c r="O28" s="1219">
        <f t="shared" si="3"/>
        <v>4785647283</v>
      </c>
      <c r="P28" s="421">
        <f>SUM(P18:P27)</f>
        <v>4785647283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112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133407995</v>
      </c>
      <c r="J29" s="52">
        <f t="shared" si="5"/>
        <v>-123897522</v>
      </c>
      <c r="K29" s="52">
        <f t="shared" si="5"/>
        <v>74854903</v>
      </c>
      <c r="L29" s="52">
        <f t="shared" si="5"/>
        <v>-272471874</v>
      </c>
      <c r="M29" s="52">
        <f t="shared" si="5"/>
        <v>-1506907</v>
      </c>
      <c r="N29" s="52">
        <f t="shared" si="5"/>
        <v>-229326645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Munka50">
    <tabColor theme="3"/>
    <pageSetUpPr fitToPage="1"/>
  </sheetPr>
  <dimension ref="A1:E52"/>
  <sheetViews>
    <sheetView topLeftCell="A25" zoomScaleNormal="100" zoomScaleSheetLayoutView="85" workbookViewId="0">
      <selection activeCell="C43" sqref="C43"/>
    </sheetView>
  </sheetViews>
  <sheetFormatPr defaultColWidth="10.6640625" defaultRowHeight="15.75" x14ac:dyDescent="0.25"/>
  <cols>
    <col min="1" max="1" width="10.6640625" style="1079"/>
    <col min="2" max="2" width="87.33203125" style="1079" customWidth="1"/>
    <col min="3" max="3" width="48.83203125" style="1042" customWidth="1"/>
    <col min="4" max="4" width="16.5" style="1079" bestFit="1" customWidth="1"/>
    <col min="5" max="5" width="18.6640625" style="1079" bestFit="1" customWidth="1"/>
    <col min="6" max="257" width="10.6640625" style="1079"/>
    <col min="258" max="258" width="60.1640625" style="1079" customWidth="1"/>
    <col min="259" max="259" width="48.83203125" style="1079" customWidth="1"/>
    <col min="260" max="260" width="16.5" style="1079" bestFit="1" customWidth="1"/>
    <col min="261" max="261" width="15" style="1079" customWidth="1"/>
    <col min="262" max="513" width="10.6640625" style="1079"/>
    <col min="514" max="514" width="60.1640625" style="1079" customWidth="1"/>
    <col min="515" max="515" width="48.83203125" style="1079" customWidth="1"/>
    <col min="516" max="516" width="16.5" style="1079" bestFit="1" customWidth="1"/>
    <col min="517" max="517" width="15" style="1079" customWidth="1"/>
    <col min="518" max="769" width="10.6640625" style="1079"/>
    <col min="770" max="770" width="60.1640625" style="1079" customWidth="1"/>
    <col min="771" max="771" width="48.83203125" style="1079" customWidth="1"/>
    <col min="772" max="772" width="16.5" style="1079" bestFit="1" customWidth="1"/>
    <col min="773" max="773" width="15" style="1079" customWidth="1"/>
    <col min="774" max="1025" width="10.6640625" style="1079"/>
    <col min="1026" max="1026" width="60.1640625" style="1079" customWidth="1"/>
    <col min="1027" max="1027" width="48.83203125" style="1079" customWidth="1"/>
    <col min="1028" max="1028" width="16.5" style="1079" bestFit="1" customWidth="1"/>
    <col min="1029" max="1029" width="15" style="1079" customWidth="1"/>
    <col min="1030" max="1281" width="10.6640625" style="1079"/>
    <col min="1282" max="1282" width="60.1640625" style="1079" customWidth="1"/>
    <col min="1283" max="1283" width="48.83203125" style="1079" customWidth="1"/>
    <col min="1284" max="1284" width="16.5" style="1079" bestFit="1" customWidth="1"/>
    <col min="1285" max="1285" width="15" style="1079" customWidth="1"/>
    <col min="1286" max="1537" width="10.6640625" style="1079"/>
    <col min="1538" max="1538" width="60.1640625" style="1079" customWidth="1"/>
    <col min="1539" max="1539" width="48.83203125" style="1079" customWidth="1"/>
    <col min="1540" max="1540" width="16.5" style="1079" bestFit="1" customWidth="1"/>
    <col min="1541" max="1541" width="15" style="1079" customWidth="1"/>
    <col min="1542" max="1793" width="10.6640625" style="1079"/>
    <col min="1794" max="1794" width="60.1640625" style="1079" customWidth="1"/>
    <col min="1795" max="1795" width="48.83203125" style="1079" customWidth="1"/>
    <col min="1796" max="1796" width="16.5" style="1079" bestFit="1" customWidth="1"/>
    <col min="1797" max="1797" width="15" style="1079" customWidth="1"/>
    <col min="1798" max="2049" width="10.6640625" style="1079"/>
    <col min="2050" max="2050" width="60.1640625" style="1079" customWidth="1"/>
    <col min="2051" max="2051" width="48.83203125" style="1079" customWidth="1"/>
    <col min="2052" max="2052" width="16.5" style="1079" bestFit="1" customWidth="1"/>
    <col min="2053" max="2053" width="15" style="1079" customWidth="1"/>
    <col min="2054" max="2305" width="10.6640625" style="1079"/>
    <col min="2306" max="2306" width="60.1640625" style="1079" customWidth="1"/>
    <col min="2307" max="2307" width="48.83203125" style="1079" customWidth="1"/>
    <col min="2308" max="2308" width="16.5" style="1079" bestFit="1" customWidth="1"/>
    <col min="2309" max="2309" width="15" style="1079" customWidth="1"/>
    <col min="2310" max="2561" width="10.6640625" style="1079"/>
    <col min="2562" max="2562" width="60.1640625" style="1079" customWidth="1"/>
    <col min="2563" max="2563" width="48.83203125" style="1079" customWidth="1"/>
    <col min="2564" max="2564" width="16.5" style="1079" bestFit="1" customWidth="1"/>
    <col min="2565" max="2565" width="15" style="1079" customWidth="1"/>
    <col min="2566" max="2817" width="10.6640625" style="1079"/>
    <col min="2818" max="2818" width="60.1640625" style="1079" customWidth="1"/>
    <col min="2819" max="2819" width="48.83203125" style="1079" customWidth="1"/>
    <col min="2820" max="2820" width="16.5" style="1079" bestFit="1" customWidth="1"/>
    <col min="2821" max="2821" width="15" style="1079" customWidth="1"/>
    <col min="2822" max="3073" width="10.6640625" style="1079"/>
    <col min="3074" max="3074" width="60.1640625" style="1079" customWidth="1"/>
    <col min="3075" max="3075" width="48.83203125" style="1079" customWidth="1"/>
    <col min="3076" max="3076" width="16.5" style="1079" bestFit="1" customWidth="1"/>
    <col min="3077" max="3077" width="15" style="1079" customWidth="1"/>
    <col min="3078" max="3329" width="10.6640625" style="1079"/>
    <col min="3330" max="3330" width="60.1640625" style="1079" customWidth="1"/>
    <col min="3331" max="3331" width="48.83203125" style="1079" customWidth="1"/>
    <col min="3332" max="3332" width="16.5" style="1079" bestFit="1" customWidth="1"/>
    <col min="3333" max="3333" width="15" style="1079" customWidth="1"/>
    <col min="3334" max="3585" width="10.6640625" style="1079"/>
    <col min="3586" max="3586" width="60.1640625" style="1079" customWidth="1"/>
    <col min="3587" max="3587" width="48.83203125" style="1079" customWidth="1"/>
    <col min="3588" max="3588" width="16.5" style="1079" bestFit="1" customWidth="1"/>
    <col min="3589" max="3589" width="15" style="1079" customWidth="1"/>
    <col min="3590" max="3841" width="10.6640625" style="1079"/>
    <col min="3842" max="3842" width="60.1640625" style="1079" customWidth="1"/>
    <col min="3843" max="3843" width="48.83203125" style="1079" customWidth="1"/>
    <col min="3844" max="3844" width="16.5" style="1079" bestFit="1" customWidth="1"/>
    <col min="3845" max="3845" width="15" style="1079" customWidth="1"/>
    <col min="3846" max="4097" width="10.6640625" style="1079"/>
    <col min="4098" max="4098" width="60.1640625" style="1079" customWidth="1"/>
    <col min="4099" max="4099" width="48.83203125" style="1079" customWidth="1"/>
    <col min="4100" max="4100" width="16.5" style="1079" bestFit="1" customWidth="1"/>
    <col min="4101" max="4101" width="15" style="1079" customWidth="1"/>
    <col min="4102" max="4353" width="10.6640625" style="1079"/>
    <col min="4354" max="4354" width="60.1640625" style="1079" customWidth="1"/>
    <col min="4355" max="4355" width="48.83203125" style="1079" customWidth="1"/>
    <col min="4356" max="4356" width="16.5" style="1079" bestFit="1" customWidth="1"/>
    <col min="4357" max="4357" width="15" style="1079" customWidth="1"/>
    <col min="4358" max="4609" width="10.6640625" style="1079"/>
    <col min="4610" max="4610" width="60.1640625" style="1079" customWidth="1"/>
    <col min="4611" max="4611" width="48.83203125" style="1079" customWidth="1"/>
    <col min="4612" max="4612" width="16.5" style="1079" bestFit="1" customWidth="1"/>
    <col min="4613" max="4613" width="15" style="1079" customWidth="1"/>
    <col min="4614" max="4865" width="10.6640625" style="1079"/>
    <col min="4866" max="4866" width="60.1640625" style="1079" customWidth="1"/>
    <col min="4867" max="4867" width="48.83203125" style="1079" customWidth="1"/>
    <col min="4868" max="4868" width="16.5" style="1079" bestFit="1" customWidth="1"/>
    <col min="4869" max="4869" width="15" style="1079" customWidth="1"/>
    <col min="4870" max="5121" width="10.6640625" style="1079"/>
    <col min="5122" max="5122" width="60.1640625" style="1079" customWidth="1"/>
    <col min="5123" max="5123" width="48.83203125" style="1079" customWidth="1"/>
    <col min="5124" max="5124" width="16.5" style="1079" bestFit="1" customWidth="1"/>
    <col min="5125" max="5125" width="15" style="1079" customWidth="1"/>
    <col min="5126" max="5377" width="10.6640625" style="1079"/>
    <col min="5378" max="5378" width="60.1640625" style="1079" customWidth="1"/>
    <col min="5379" max="5379" width="48.83203125" style="1079" customWidth="1"/>
    <col min="5380" max="5380" width="16.5" style="1079" bestFit="1" customWidth="1"/>
    <col min="5381" max="5381" width="15" style="1079" customWidth="1"/>
    <col min="5382" max="5633" width="10.6640625" style="1079"/>
    <col min="5634" max="5634" width="60.1640625" style="1079" customWidth="1"/>
    <col min="5635" max="5635" width="48.83203125" style="1079" customWidth="1"/>
    <col min="5636" max="5636" width="16.5" style="1079" bestFit="1" customWidth="1"/>
    <col min="5637" max="5637" width="15" style="1079" customWidth="1"/>
    <col min="5638" max="5889" width="10.6640625" style="1079"/>
    <col min="5890" max="5890" width="60.1640625" style="1079" customWidth="1"/>
    <col min="5891" max="5891" width="48.83203125" style="1079" customWidth="1"/>
    <col min="5892" max="5892" width="16.5" style="1079" bestFit="1" customWidth="1"/>
    <col min="5893" max="5893" width="15" style="1079" customWidth="1"/>
    <col min="5894" max="6145" width="10.6640625" style="1079"/>
    <col min="6146" max="6146" width="60.1640625" style="1079" customWidth="1"/>
    <col min="6147" max="6147" width="48.83203125" style="1079" customWidth="1"/>
    <col min="6148" max="6148" width="16.5" style="1079" bestFit="1" customWidth="1"/>
    <col min="6149" max="6149" width="15" style="1079" customWidth="1"/>
    <col min="6150" max="6401" width="10.6640625" style="1079"/>
    <col min="6402" max="6402" width="60.1640625" style="1079" customWidth="1"/>
    <col min="6403" max="6403" width="48.83203125" style="1079" customWidth="1"/>
    <col min="6404" max="6404" width="16.5" style="1079" bestFit="1" customWidth="1"/>
    <col min="6405" max="6405" width="15" style="1079" customWidth="1"/>
    <col min="6406" max="6657" width="10.6640625" style="1079"/>
    <col min="6658" max="6658" width="60.1640625" style="1079" customWidth="1"/>
    <col min="6659" max="6659" width="48.83203125" style="1079" customWidth="1"/>
    <col min="6660" max="6660" width="16.5" style="1079" bestFit="1" customWidth="1"/>
    <col min="6661" max="6661" width="15" style="1079" customWidth="1"/>
    <col min="6662" max="6913" width="10.6640625" style="1079"/>
    <col min="6914" max="6914" width="60.1640625" style="1079" customWidth="1"/>
    <col min="6915" max="6915" width="48.83203125" style="1079" customWidth="1"/>
    <col min="6916" max="6916" width="16.5" style="1079" bestFit="1" customWidth="1"/>
    <col min="6917" max="6917" width="15" style="1079" customWidth="1"/>
    <col min="6918" max="7169" width="10.6640625" style="1079"/>
    <col min="7170" max="7170" width="60.1640625" style="1079" customWidth="1"/>
    <col min="7171" max="7171" width="48.83203125" style="1079" customWidth="1"/>
    <col min="7172" max="7172" width="16.5" style="1079" bestFit="1" customWidth="1"/>
    <col min="7173" max="7173" width="15" style="1079" customWidth="1"/>
    <col min="7174" max="7425" width="10.6640625" style="1079"/>
    <col min="7426" max="7426" width="60.1640625" style="1079" customWidth="1"/>
    <col min="7427" max="7427" width="48.83203125" style="1079" customWidth="1"/>
    <col min="7428" max="7428" width="16.5" style="1079" bestFit="1" customWidth="1"/>
    <col min="7429" max="7429" width="15" style="1079" customWidth="1"/>
    <col min="7430" max="7681" width="10.6640625" style="1079"/>
    <col min="7682" max="7682" width="60.1640625" style="1079" customWidth="1"/>
    <col min="7683" max="7683" width="48.83203125" style="1079" customWidth="1"/>
    <col min="7684" max="7684" width="16.5" style="1079" bestFit="1" customWidth="1"/>
    <col min="7685" max="7685" width="15" style="1079" customWidth="1"/>
    <col min="7686" max="7937" width="10.6640625" style="1079"/>
    <col min="7938" max="7938" width="60.1640625" style="1079" customWidth="1"/>
    <col min="7939" max="7939" width="48.83203125" style="1079" customWidth="1"/>
    <col min="7940" max="7940" width="16.5" style="1079" bestFit="1" customWidth="1"/>
    <col min="7941" max="7941" width="15" style="1079" customWidth="1"/>
    <col min="7942" max="8193" width="10.6640625" style="1079"/>
    <col min="8194" max="8194" width="60.1640625" style="1079" customWidth="1"/>
    <col min="8195" max="8195" width="48.83203125" style="1079" customWidth="1"/>
    <col min="8196" max="8196" width="16.5" style="1079" bestFit="1" customWidth="1"/>
    <col min="8197" max="8197" width="15" style="1079" customWidth="1"/>
    <col min="8198" max="8449" width="10.6640625" style="1079"/>
    <col min="8450" max="8450" width="60.1640625" style="1079" customWidth="1"/>
    <col min="8451" max="8451" width="48.83203125" style="1079" customWidth="1"/>
    <col min="8452" max="8452" width="16.5" style="1079" bestFit="1" customWidth="1"/>
    <col min="8453" max="8453" width="15" style="1079" customWidth="1"/>
    <col min="8454" max="8705" width="10.6640625" style="1079"/>
    <col min="8706" max="8706" width="60.1640625" style="1079" customWidth="1"/>
    <col min="8707" max="8707" width="48.83203125" style="1079" customWidth="1"/>
    <col min="8708" max="8708" width="16.5" style="1079" bestFit="1" customWidth="1"/>
    <col min="8709" max="8709" width="15" style="1079" customWidth="1"/>
    <col min="8710" max="8961" width="10.6640625" style="1079"/>
    <col min="8962" max="8962" width="60.1640625" style="1079" customWidth="1"/>
    <col min="8963" max="8963" width="48.83203125" style="1079" customWidth="1"/>
    <col min="8964" max="8964" width="16.5" style="1079" bestFit="1" customWidth="1"/>
    <col min="8965" max="8965" width="15" style="1079" customWidth="1"/>
    <col min="8966" max="9217" width="10.6640625" style="1079"/>
    <col min="9218" max="9218" width="60.1640625" style="1079" customWidth="1"/>
    <col min="9219" max="9219" width="48.83203125" style="1079" customWidth="1"/>
    <col min="9220" max="9220" width="16.5" style="1079" bestFit="1" customWidth="1"/>
    <col min="9221" max="9221" width="15" style="1079" customWidth="1"/>
    <col min="9222" max="9473" width="10.6640625" style="1079"/>
    <col min="9474" max="9474" width="60.1640625" style="1079" customWidth="1"/>
    <col min="9475" max="9475" width="48.83203125" style="1079" customWidth="1"/>
    <col min="9476" max="9476" width="16.5" style="1079" bestFit="1" customWidth="1"/>
    <col min="9477" max="9477" width="15" style="1079" customWidth="1"/>
    <col min="9478" max="9729" width="10.6640625" style="1079"/>
    <col min="9730" max="9730" width="60.1640625" style="1079" customWidth="1"/>
    <col min="9731" max="9731" width="48.83203125" style="1079" customWidth="1"/>
    <col min="9732" max="9732" width="16.5" style="1079" bestFit="1" customWidth="1"/>
    <col min="9733" max="9733" width="15" style="1079" customWidth="1"/>
    <col min="9734" max="9985" width="10.6640625" style="1079"/>
    <col min="9986" max="9986" width="60.1640625" style="1079" customWidth="1"/>
    <col min="9987" max="9987" width="48.83203125" style="1079" customWidth="1"/>
    <col min="9988" max="9988" width="16.5" style="1079" bestFit="1" customWidth="1"/>
    <col min="9989" max="9989" width="15" style="1079" customWidth="1"/>
    <col min="9990" max="10241" width="10.6640625" style="1079"/>
    <col min="10242" max="10242" width="60.1640625" style="1079" customWidth="1"/>
    <col min="10243" max="10243" width="48.83203125" style="1079" customWidth="1"/>
    <col min="10244" max="10244" width="16.5" style="1079" bestFit="1" customWidth="1"/>
    <col min="10245" max="10245" width="15" style="1079" customWidth="1"/>
    <col min="10246" max="10497" width="10.6640625" style="1079"/>
    <col min="10498" max="10498" width="60.1640625" style="1079" customWidth="1"/>
    <col min="10499" max="10499" width="48.83203125" style="1079" customWidth="1"/>
    <col min="10500" max="10500" width="16.5" style="1079" bestFit="1" customWidth="1"/>
    <col min="10501" max="10501" width="15" style="1079" customWidth="1"/>
    <col min="10502" max="10753" width="10.6640625" style="1079"/>
    <col min="10754" max="10754" width="60.1640625" style="1079" customWidth="1"/>
    <col min="10755" max="10755" width="48.83203125" style="1079" customWidth="1"/>
    <col min="10756" max="10756" width="16.5" style="1079" bestFit="1" customWidth="1"/>
    <col min="10757" max="10757" width="15" style="1079" customWidth="1"/>
    <col min="10758" max="11009" width="10.6640625" style="1079"/>
    <col min="11010" max="11010" width="60.1640625" style="1079" customWidth="1"/>
    <col min="11011" max="11011" width="48.83203125" style="1079" customWidth="1"/>
    <col min="11012" max="11012" width="16.5" style="1079" bestFit="1" customWidth="1"/>
    <col min="11013" max="11013" width="15" style="1079" customWidth="1"/>
    <col min="11014" max="11265" width="10.6640625" style="1079"/>
    <col min="11266" max="11266" width="60.1640625" style="1079" customWidth="1"/>
    <col min="11267" max="11267" width="48.83203125" style="1079" customWidth="1"/>
    <col min="11268" max="11268" width="16.5" style="1079" bestFit="1" customWidth="1"/>
    <col min="11269" max="11269" width="15" style="1079" customWidth="1"/>
    <col min="11270" max="11521" width="10.6640625" style="1079"/>
    <col min="11522" max="11522" width="60.1640625" style="1079" customWidth="1"/>
    <col min="11523" max="11523" width="48.83203125" style="1079" customWidth="1"/>
    <col min="11524" max="11524" width="16.5" style="1079" bestFit="1" customWidth="1"/>
    <col min="11525" max="11525" width="15" style="1079" customWidth="1"/>
    <col min="11526" max="11777" width="10.6640625" style="1079"/>
    <col min="11778" max="11778" width="60.1640625" style="1079" customWidth="1"/>
    <col min="11779" max="11779" width="48.83203125" style="1079" customWidth="1"/>
    <col min="11780" max="11780" width="16.5" style="1079" bestFit="1" customWidth="1"/>
    <col min="11781" max="11781" width="15" style="1079" customWidth="1"/>
    <col min="11782" max="12033" width="10.6640625" style="1079"/>
    <col min="12034" max="12034" width="60.1640625" style="1079" customWidth="1"/>
    <col min="12035" max="12035" width="48.83203125" style="1079" customWidth="1"/>
    <col min="12036" max="12036" width="16.5" style="1079" bestFit="1" customWidth="1"/>
    <col min="12037" max="12037" width="15" style="1079" customWidth="1"/>
    <col min="12038" max="12289" width="10.6640625" style="1079"/>
    <col min="12290" max="12290" width="60.1640625" style="1079" customWidth="1"/>
    <col min="12291" max="12291" width="48.83203125" style="1079" customWidth="1"/>
    <col min="12292" max="12292" width="16.5" style="1079" bestFit="1" customWidth="1"/>
    <col min="12293" max="12293" width="15" style="1079" customWidth="1"/>
    <col min="12294" max="12545" width="10.6640625" style="1079"/>
    <col min="12546" max="12546" width="60.1640625" style="1079" customWidth="1"/>
    <col min="12547" max="12547" width="48.83203125" style="1079" customWidth="1"/>
    <col min="12548" max="12548" width="16.5" style="1079" bestFit="1" customWidth="1"/>
    <col min="12549" max="12549" width="15" style="1079" customWidth="1"/>
    <col min="12550" max="12801" width="10.6640625" style="1079"/>
    <col min="12802" max="12802" width="60.1640625" style="1079" customWidth="1"/>
    <col min="12803" max="12803" width="48.83203125" style="1079" customWidth="1"/>
    <col min="12804" max="12804" width="16.5" style="1079" bestFit="1" customWidth="1"/>
    <col min="12805" max="12805" width="15" style="1079" customWidth="1"/>
    <col min="12806" max="13057" width="10.6640625" style="1079"/>
    <col min="13058" max="13058" width="60.1640625" style="1079" customWidth="1"/>
    <col min="13059" max="13059" width="48.83203125" style="1079" customWidth="1"/>
    <col min="13060" max="13060" width="16.5" style="1079" bestFit="1" customWidth="1"/>
    <col min="13061" max="13061" width="15" style="1079" customWidth="1"/>
    <col min="13062" max="13313" width="10.6640625" style="1079"/>
    <col min="13314" max="13314" width="60.1640625" style="1079" customWidth="1"/>
    <col min="13315" max="13315" width="48.83203125" style="1079" customWidth="1"/>
    <col min="13316" max="13316" width="16.5" style="1079" bestFit="1" customWidth="1"/>
    <col min="13317" max="13317" width="15" style="1079" customWidth="1"/>
    <col min="13318" max="13569" width="10.6640625" style="1079"/>
    <col min="13570" max="13570" width="60.1640625" style="1079" customWidth="1"/>
    <col min="13571" max="13571" width="48.83203125" style="1079" customWidth="1"/>
    <col min="13572" max="13572" width="16.5" style="1079" bestFit="1" customWidth="1"/>
    <col min="13573" max="13573" width="15" style="1079" customWidth="1"/>
    <col min="13574" max="13825" width="10.6640625" style="1079"/>
    <col min="13826" max="13826" width="60.1640625" style="1079" customWidth="1"/>
    <col min="13827" max="13827" width="48.83203125" style="1079" customWidth="1"/>
    <col min="13828" max="13828" width="16.5" style="1079" bestFit="1" customWidth="1"/>
    <col min="13829" max="13829" width="15" style="1079" customWidth="1"/>
    <col min="13830" max="14081" width="10.6640625" style="1079"/>
    <col min="14082" max="14082" width="60.1640625" style="1079" customWidth="1"/>
    <col min="14083" max="14083" width="48.83203125" style="1079" customWidth="1"/>
    <col min="14084" max="14084" width="16.5" style="1079" bestFit="1" customWidth="1"/>
    <col min="14085" max="14085" width="15" style="1079" customWidth="1"/>
    <col min="14086" max="14337" width="10.6640625" style="1079"/>
    <col min="14338" max="14338" width="60.1640625" style="1079" customWidth="1"/>
    <col min="14339" max="14339" width="48.83203125" style="1079" customWidth="1"/>
    <col min="14340" max="14340" width="16.5" style="1079" bestFit="1" customWidth="1"/>
    <col min="14341" max="14341" width="15" style="1079" customWidth="1"/>
    <col min="14342" max="14593" width="10.6640625" style="1079"/>
    <col min="14594" max="14594" width="60.1640625" style="1079" customWidth="1"/>
    <col min="14595" max="14595" width="48.83203125" style="1079" customWidth="1"/>
    <col min="14596" max="14596" width="16.5" style="1079" bestFit="1" customWidth="1"/>
    <col min="14597" max="14597" width="15" style="1079" customWidth="1"/>
    <col min="14598" max="14849" width="10.6640625" style="1079"/>
    <col min="14850" max="14850" width="60.1640625" style="1079" customWidth="1"/>
    <col min="14851" max="14851" width="48.83203125" style="1079" customWidth="1"/>
    <col min="14852" max="14852" width="16.5" style="1079" bestFit="1" customWidth="1"/>
    <col min="14853" max="14853" width="15" style="1079" customWidth="1"/>
    <col min="14854" max="15105" width="10.6640625" style="1079"/>
    <col min="15106" max="15106" width="60.1640625" style="1079" customWidth="1"/>
    <col min="15107" max="15107" width="48.83203125" style="1079" customWidth="1"/>
    <col min="15108" max="15108" width="16.5" style="1079" bestFit="1" customWidth="1"/>
    <col min="15109" max="15109" width="15" style="1079" customWidth="1"/>
    <col min="15110" max="15361" width="10.6640625" style="1079"/>
    <col min="15362" max="15362" width="60.1640625" style="1079" customWidth="1"/>
    <col min="15363" max="15363" width="48.83203125" style="1079" customWidth="1"/>
    <col min="15364" max="15364" width="16.5" style="1079" bestFit="1" customWidth="1"/>
    <col min="15365" max="15365" width="15" style="1079" customWidth="1"/>
    <col min="15366" max="15617" width="10.6640625" style="1079"/>
    <col min="15618" max="15618" width="60.1640625" style="1079" customWidth="1"/>
    <col min="15619" max="15619" width="48.83203125" style="1079" customWidth="1"/>
    <col min="15620" max="15620" width="16.5" style="1079" bestFit="1" customWidth="1"/>
    <col min="15621" max="15621" width="15" style="1079" customWidth="1"/>
    <col min="15622" max="15873" width="10.6640625" style="1079"/>
    <col min="15874" max="15874" width="60.1640625" style="1079" customWidth="1"/>
    <col min="15875" max="15875" width="48.83203125" style="1079" customWidth="1"/>
    <col min="15876" max="15876" width="16.5" style="1079" bestFit="1" customWidth="1"/>
    <col min="15877" max="15877" width="15" style="1079" customWidth="1"/>
    <col min="15878" max="16129" width="10.6640625" style="1079"/>
    <col min="16130" max="16130" width="60.1640625" style="1079" customWidth="1"/>
    <col min="16131" max="16131" width="48.83203125" style="1079" customWidth="1"/>
    <col min="16132" max="16132" width="16.5" style="1079" bestFit="1" customWidth="1"/>
    <col min="16133" max="16133" width="15" style="1079" customWidth="1"/>
    <col min="16134" max="16384" width="10.6640625" style="1079"/>
  </cols>
  <sheetData>
    <row r="1" spans="1:3" ht="12.75" x14ac:dyDescent="0.2">
      <c r="A1" s="1551" t="str">
        <f>CONCATENATE("26. melléklet"," ",ALAPADATOK!A7," ",ALAPADATOK!B7," ",ALAPADATOK!C7," ",ALAPADATOK!D7," ",ALAPADATOK!E7," ",ALAPADATOK!F7," ",ALAPADATOK!G7," ",ALAPADATOK!H7)</f>
        <v>26. melléklet a  / 2020. (  ) önkormányzati rendelethez</v>
      </c>
      <c r="B1" s="1551"/>
      <c r="C1" s="1551"/>
    </row>
    <row r="2" spans="1:3" ht="17.25" customHeight="1" x14ac:dyDescent="0.2">
      <c r="B2" s="244"/>
      <c r="C2" s="1419" t="s">
        <v>1027</v>
      </c>
    </row>
    <row r="3" spans="1:3" ht="42" customHeight="1" x14ac:dyDescent="0.2">
      <c r="A3" s="1552" t="s">
        <v>820</v>
      </c>
      <c r="B3" s="1552"/>
      <c r="C3" s="1552"/>
    </row>
    <row r="4" spans="1:3" ht="33" customHeight="1" thickBot="1" x14ac:dyDescent="0.3">
      <c r="B4" s="245"/>
      <c r="C4" s="1285" t="s">
        <v>16</v>
      </c>
    </row>
    <row r="5" spans="1:3" ht="12.75" x14ac:dyDescent="0.2">
      <c r="A5" s="1553" t="s">
        <v>956</v>
      </c>
      <c r="B5" s="1555" t="s">
        <v>931</v>
      </c>
      <c r="C5" s="1557" t="s">
        <v>930</v>
      </c>
    </row>
    <row r="6" spans="1:3" ht="12.75" x14ac:dyDescent="0.2">
      <c r="A6" s="1554"/>
      <c r="B6" s="1556"/>
      <c r="C6" s="1558"/>
    </row>
    <row r="7" spans="1:3" ht="12.75" x14ac:dyDescent="0.2">
      <c r="A7" s="1554"/>
      <c r="B7" s="1556"/>
      <c r="C7" s="1558"/>
    </row>
    <row r="8" spans="1:3" x14ac:dyDescent="0.25">
      <c r="A8" s="1102" t="s">
        <v>21</v>
      </c>
      <c r="B8" s="1177" t="s">
        <v>405</v>
      </c>
      <c r="C8" s="1413">
        <f>148895800+27629700+809750</f>
        <v>177335250</v>
      </c>
    </row>
    <row r="9" spans="1:3" x14ac:dyDescent="0.25">
      <c r="A9" s="1102" t="s">
        <v>22</v>
      </c>
      <c r="B9" s="1041" t="s">
        <v>989</v>
      </c>
      <c r="C9" s="1286">
        <v>76751937</v>
      </c>
    </row>
    <row r="10" spans="1:3" x14ac:dyDescent="0.25">
      <c r="A10" s="1102" t="s">
        <v>105</v>
      </c>
      <c r="B10" s="1041" t="s">
        <v>406</v>
      </c>
      <c r="C10" s="1286">
        <v>13441371</v>
      </c>
    </row>
    <row r="11" spans="1:3" x14ac:dyDescent="0.25">
      <c r="A11" s="1102" t="s">
        <v>106</v>
      </c>
      <c r="B11" s="1041" t="s">
        <v>407</v>
      </c>
      <c r="C11" s="1286">
        <v>35440000</v>
      </c>
    </row>
    <row r="12" spans="1:3" ht="15" customHeight="1" x14ac:dyDescent="0.25">
      <c r="A12" s="1102" t="s">
        <v>107</v>
      </c>
      <c r="B12" s="1041" t="s">
        <v>408</v>
      </c>
      <c r="C12" s="1286">
        <v>7111416</v>
      </c>
    </row>
    <row r="13" spans="1:3" x14ac:dyDescent="0.25">
      <c r="A13" s="1102" t="s">
        <v>108</v>
      </c>
      <c r="B13" s="1041" t="s">
        <v>409</v>
      </c>
      <c r="C13" s="1286">
        <v>20759150</v>
      </c>
    </row>
    <row r="14" spans="1:3" x14ac:dyDescent="0.25">
      <c r="A14" s="1102" t="s">
        <v>109</v>
      </c>
      <c r="B14" s="1041" t="s">
        <v>410</v>
      </c>
      <c r="C14" s="1286">
        <v>0</v>
      </c>
    </row>
    <row r="15" spans="1:3" ht="17.25" customHeight="1" x14ac:dyDescent="0.25">
      <c r="A15" s="1102" t="s">
        <v>118</v>
      </c>
      <c r="B15" s="1041" t="s">
        <v>416</v>
      </c>
      <c r="C15" s="1286">
        <v>0</v>
      </c>
    </row>
    <row r="16" spans="1:3" x14ac:dyDescent="0.25">
      <c r="A16" s="1102" t="s">
        <v>958</v>
      </c>
      <c r="B16" s="1040" t="s">
        <v>961</v>
      </c>
      <c r="C16" s="1287">
        <f>SUM(C8:C9)</f>
        <v>254087187</v>
      </c>
    </row>
    <row r="17" spans="1:4" x14ac:dyDescent="0.25">
      <c r="A17" s="1102" t="s">
        <v>959</v>
      </c>
      <c r="B17" s="1041" t="s">
        <v>822</v>
      </c>
      <c r="C17" s="1288">
        <v>1877357</v>
      </c>
    </row>
    <row r="18" spans="1:4" ht="16.5" thickBot="1" x14ac:dyDescent="0.3">
      <c r="A18" s="1103" t="s">
        <v>960</v>
      </c>
      <c r="B18" s="1104" t="s">
        <v>576</v>
      </c>
      <c r="C18" s="1289">
        <v>1793900</v>
      </c>
    </row>
    <row r="19" spans="1:4" ht="17.25" customHeight="1" thickBot="1" x14ac:dyDescent="0.3">
      <c r="A19" s="1105" t="s">
        <v>957</v>
      </c>
      <c r="B19" s="1109" t="s">
        <v>962</v>
      </c>
      <c r="C19" s="1290">
        <f>SUM(C16:C18)</f>
        <v>257758444</v>
      </c>
    </row>
    <row r="20" spans="1:4" ht="30" x14ac:dyDescent="0.25">
      <c r="A20" s="1107" t="s">
        <v>964</v>
      </c>
      <c r="B20" s="1108" t="s">
        <v>411</v>
      </c>
      <c r="C20" s="1414">
        <f>185479350+17312349</f>
        <v>202791699</v>
      </c>
    </row>
    <row r="21" spans="1:4" x14ac:dyDescent="0.25">
      <c r="A21" s="1102" t="s">
        <v>965</v>
      </c>
      <c r="B21" s="1098" t="s">
        <v>412</v>
      </c>
      <c r="C21" s="1286">
        <v>34742580</v>
      </c>
    </row>
    <row r="22" spans="1:4" x14ac:dyDescent="0.25">
      <c r="A22" s="1102" t="s">
        <v>966</v>
      </c>
      <c r="B22" s="1041" t="s">
        <v>577</v>
      </c>
      <c r="C22" s="1286">
        <v>0</v>
      </c>
    </row>
    <row r="23" spans="1:4" x14ac:dyDescent="0.25">
      <c r="A23" s="1102" t="s">
        <v>967</v>
      </c>
      <c r="B23" s="1041" t="s">
        <v>578</v>
      </c>
      <c r="C23" s="1286">
        <v>9381300</v>
      </c>
    </row>
    <row r="24" spans="1:4" ht="16.5" thickBot="1" x14ac:dyDescent="0.3">
      <c r="A24" s="1103" t="s">
        <v>968</v>
      </c>
      <c r="B24" s="1104" t="s">
        <v>821</v>
      </c>
      <c r="C24" s="1291"/>
    </row>
    <row r="25" spans="1:4" ht="30.75" thickBot="1" x14ac:dyDescent="0.3">
      <c r="A25" s="1105" t="s">
        <v>963</v>
      </c>
      <c r="B25" s="1109" t="s">
        <v>988</v>
      </c>
      <c r="C25" s="1290">
        <f>SUM(C20:C23)</f>
        <v>246915579</v>
      </c>
    </row>
    <row r="26" spans="1:4" x14ac:dyDescent="0.25">
      <c r="A26" s="1107" t="s">
        <v>970</v>
      </c>
      <c r="B26" s="1108" t="s">
        <v>530</v>
      </c>
      <c r="C26" s="1414">
        <f>141065863+2682000</f>
        <v>143747863</v>
      </c>
    </row>
    <row r="27" spans="1:4" x14ac:dyDescent="0.25">
      <c r="A27" s="1102" t="s">
        <v>971</v>
      </c>
      <c r="B27" s="1099" t="s">
        <v>413</v>
      </c>
      <c r="C27" s="1286">
        <f>90478170-62000+4693700</f>
        <v>95109870</v>
      </c>
    </row>
    <row r="28" spans="1:4" ht="30" x14ac:dyDescent="0.25">
      <c r="A28" s="1102" t="s">
        <v>972</v>
      </c>
      <c r="B28" s="1100" t="s">
        <v>541</v>
      </c>
      <c r="C28" s="1286">
        <f>183403360+12784000</f>
        <v>196187360</v>
      </c>
      <c r="D28" s="246"/>
    </row>
    <row r="29" spans="1:4" x14ac:dyDescent="0.25">
      <c r="A29" s="1102" t="s">
        <v>973</v>
      </c>
      <c r="B29" s="1098" t="s">
        <v>823</v>
      </c>
      <c r="C29" s="1286">
        <f>57002000+3780480</f>
        <v>60782480</v>
      </c>
    </row>
    <row r="30" spans="1:4" x14ac:dyDescent="0.25">
      <c r="A30" s="1102" t="s">
        <v>974</v>
      </c>
      <c r="B30" s="1099" t="s">
        <v>824</v>
      </c>
      <c r="C30" s="1286">
        <v>77250742</v>
      </c>
    </row>
    <row r="31" spans="1:4" x14ac:dyDescent="0.25">
      <c r="A31" s="1102" t="s">
        <v>975</v>
      </c>
      <c r="B31" s="1100" t="s">
        <v>5</v>
      </c>
      <c r="C31" s="1286">
        <v>51874820</v>
      </c>
    </row>
    <row r="32" spans="1:4" ht="30" x14ac:dyDescent="0.25">
      <c r="A32" s="1102" t="s">
        <v>976</v>
      </c>
      <c r="B32" s="1100" t="s">
        <v>579</v>
      </c>
      <c r="C32" s="1286">
        <f>30933000+2400000</f>
        <v>33333000</v>
      </c>
    </row>
    <row r="33" spans="1:4" ht="30" x14ac:dyDescent="0.25">
      <c r="A33" s="1102" t="s">
        <v>977</v>
      </c>
      <c r="B33" s="1100" t="s">
        <v>580</v>
      </c>
      <c r="C33" s="1286">
        <v>24841900</v>
      </c>
    </row>
    <row r="34" spans="1:4" x14ac:dyDescent="0.25">
      <c r="A34" s="1102" t="s">
        <v>978</v>
      </c>
      <c r="B34" s="1100" t="s">
        <v>581</v>
      </c>
      <c r="C34" s="1286">
        <v>11476000</v>
      </c>
    </row>
    <row r="35" spans="1:4" x14ac:dyDescent="0.25">
      <c r="A35" s="1102" t="s">
        <v>979</v>
      </c>
      <c r="B35" s="1041" t="s">
        <v>821</v>
      </c>
      <c r="C35" s="1292"/>
    </row>
    <row r="36" spans="1:4" x14ac:dyDescent="0.25">
      <c r="A36" s="1102" t="s">
        <v>980</v>
      </c>
      <c r="B36" s="1101" t="s">
        <v>711</v>
      </c>
      <c r="C36" s="1221">
        <f>73457967+33216359</f>
        <v>106674326</v>
      </c>
    </row>
    <row r="37" spans="1:4" x14ac:dyDescent="0.25">
      <c r="A37" s="1103" t="s">
        <v>981</v>
      </c>
      <c r="B37" s="1110" t="s">
        <v>713</v>
      </c>
      <c r="C37" s="1112">
        <v>10214843</v>
      </c>
    </row>
    <row r="38" spans="1:4" ht="16.5" thickBot="1" x14ac:dyDescent="0.3">
      <c r="A38" s="1416" t="s">
        <v>1039</v>
      </c>
      <c r="B38" s="1417" t="s">
        <v>1038</v>
      </c>
      <c r="C38" s="1418">
        <v>4495800</v>
      </c>
    </row>
    <row r="39" spans="1:4" ht="30.75" thickBot="1" x14ac:dyDescent="0.3">
      <c r="A39" s="1105" t="s">
        <v>969</v>
      </c>
      <c r="B39" s="1109" t="s">
        <v>1040</v>
      </c>
      <c r="C39" s="1290">
        <f>SUM(C26:C38)</f>
        <v>815989004</v>
      </c>
      <c r="D39" s="265"/>
    </row>
    <row r="40" spans="1:4" x14ac:dyDescent="0.25">
      <c r="A40" s="1107" t="s">
        <v>982</v>
      </c>
      <c r="B40" s="1111" t="s">
        <v>414</v>
      </c>
      <c r="C40" s="1293"/>
    </row>
    <row r="41" spans="1:4" x14ac:dyDescent="0.25">
      <c r="A41" s="1102" t="s">
        <v>983</v>
      </c>
      <c r="B41" s="1100" t="s">
        <v>415</v>
      </c>
      <c r="C41" s="1292"/>
    </row>
    <row r="42" spans="1:4" ht="30" x14ac:dyDescent="0.25">
      <c r="A42" s="1102" t="s">
        <v>984</v>
      </c>
      <c r="B42" s="1100" t="s">
        <v>6</v>
      </c>
      <c r="C42" s="1292"/>
    </row>
    <row r="43" spans="1:4" x14ac:dyDescent="0.25">
      <c r="A43" s="1415" t="s">
        <v>985</v>
      </c>
      <c r="B43" s="1041" t="s">
        <v>825</v>
      </c>
      <c r="C43" s="1288">
        <v>477000</v>
      </c>
    </row>
    <row r="44" spans="1:4" x14ac:dyDescent="0.25">
      <c r="A44" s="1102" t="s">
        <v>986</v>
      </c>
      <c r="B44" s="1100" t="s">
        <v>712</v>
      </c>
      <c r="C44" s="1288">
        <v>4366771</v>
      </c>
    </row>
    <row r="45" spans="1:4" x14ac:dyDescent="0.25">
      <c r="A45" s="1102" t="s">
        <v>987</v>
      </c>
      <c r="B45" s="1041" t="s">
        <v>821</v>
      </c>
      <c r="C45" s="1292"/>
    </row>
    <row r="46" spans="1:4" x14ac:dyDescent="0.25">
      <c r="A46" s="1102" t="s">
        <v>990</v>
      </c>
      <c r="B46" s="1041" t="s">
        <v>826</v>
      </c>
      <c r="C46" s="1286">
        <f>16435638+5649340</f>
        <v>22084978</v>
      </c>
    </row>
    <row r="47" spans="1:4" ht="16.5" thickBot="1" x14ac:dyDescent="0.3">
      <c r="A47" s="1222" t="s">
        <v>1009</v>
      </c>
      <c r="B47" s="1220" t="s">
        <v>1010</v>
      </c>
      <c r="C47" s="1294">
        <v>12622000</v>
      </c>
    </row>
    <row r="48" spans="1:4" ht="20.25" customHeight="1" thickBot="1" x14ac:dyDescent="0.3">
      <c r="A48" s="1223" t="s">
        <v>1011</v>
      </c>
      <c r="B48" s="1109" t="s">
        <v>1012</v>
      </c>
      <c r="C48" s="1295">
        <f>SUM(C40:C47)</f>
        <v>39550749</v>
      </c>
    </row>
    <row r="49" spans="1:5" ht="16.5" thickBot="1" x14ac:dyDescent="0.3">
      <c r="A49" s="1105"/>
      <c r="B49" s="1106" t="s">
        <v>54</v>
      </c>
      <c r="C49" s="1184">
        <f>C19+C25+C39+C48</f>
        <v>1360213776</v>
      </c>
      <c r="E49" s="713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Munka51"/>
  <dimension ref="A1:F31"/>
  <sheetViews>
    <sheetView topLeftCell="A13" zoomScale="130" zoomScaleNormal="130" workbookViewId="0">
      <selection activeCell="E10" sqref="E10"/>
    </sheetView>
  </sheetViews>
  <sheetFormatPr defaultRowHeight="12.75" x14ac:dyDescent="0.2"/>
  <cols>
    <col min="1" max="1" width="6.6640625" style="1005" customWidth="1"/>
    <col min="2" max="2" width="43.33203125" style="1005" customWidth="1"/>
    <col min="3" max="3" width="31.1640625" style="1005" customWidth="1"/>
    <col min="4" max="4" width="14.83203125" style="1033" customWidth="1"/>
    <col min="5" max="16384" width="9.33203125" style="1005"/>
  </cols>
  <sheetData>
    <row r="1" spans="1:6" x14ac:dyDescent="0.2">
      <c r="A1" s="1505" t="str">
        <f>CONCATENATE("27. melléklet"," ",ALAPADATOK!A7," ",ALAPADATOK!B7," ",ALAPADATOK!C7," ",ALAPADATOK!D7," ",ALAPADATOK!E7," ",ALAPADATOK!F7," ",ALAPADATOK!G7," ",ALAPADATOK!H7)</f>
        <v>27. melléklet a  / 2020. (  ) önkormányzati rendelethez</v>
      </c>
      <c r="B1" s="1505"/>
      <c r="C1" s="1505"/>
      <c r="D1" s="1505"/>
    </row>
    <row r="3" spans="1:6" ht="45" customHeight="1" x14ac:dyDescent="0.25">
      <c r="A3" s="1559" t="s">
        <v>827</v>
      </c>
      <c r="B3" s="1559"/>
      <c r="C3" s="1559"/>
      <c r="D3" s="1559"/>
    </row>
    <row r="4" spans="1:6" ht="17.25" customHeight="1" x14ac:dyDescent="0.25">
      <c r="A4" s="1236"/>
      <c r="B4" s="1236"/>
      <c r="C4" s="1236"/>
      <c r="D4" s="714"/>
    </row>
    <row r="5" spans="1:6" ht="13.5" thickBot="1" x14ac:dyDescent="0.25">
      <c r="A5" s="78"/>
      <c r="B5" s="78"/>
      <c r="C5" s="1560" t="s">
        <v>556</v>
      </c>
      <c r="D5" s="1560"/>
    </row>
    <row r="6" spans="1:6" ht="42.75" customHeight="1" thickBot="1" x14ac:dyDescent="0.25">
      <c r="A6" s="718" t="s">
        <v>72</v>
      </c>
      <c r="B6" s="719" t="s">
        <v>121</v>
      </c>
      <c r="C6" s="719" t="s">
        <v>122</v>
      </c>
      <c r="D6" s="720" t="s">
        <v>17</v>
      </c>
    </row>
    <row r="7" spans="1:6" ht="15.95" customHeight="1" x14ac:dyDescent="0.2">
      <c r="A7" s="716" t="s">
        <v>21</v>
      </c>
      <c r="B7" s="717" t="s">
        <v>417</v>
      </c>
      <c r="C7" s="248" t="s">
        <v>418</v>
      </c>
      <c r="D7" s="1039">
        <v>6000000</v>
      </c>
      <c r="E7" s="1114"/>
      <c r="F7" s="1114"/>
    </row>
    <row r="8" spans="1:6" ht="15.95" customHeight="1" x14ac:dyDescent="0.2">
      <c r="A8" s="1012" t="s">
        <v>22</v>
      </c>
      <c r="B8" s="1021" t="s">
        <v>419</v>
      </c>
      <c r="C8" s="24" t="s">
        <v>418</v>
      </c>
      <c r="D8" s="38">
        <v>2500000</v>
      </c>
      <c r="E8" s="1114"/>
      <c r="F8" s="1114"/>
    </row>
    <row r="9" spans="1:6" ht="15.95" customHeight="1" x14ac:dyDescent="0.2">
      <c r="A9" s="1012" t="s">
        <v>23</v>
      </c>
      <c r="B9" s="1021" t="s">
        <v>420</v>
      </c>
      <c r="C9" s="24" t="s">
        <v>418</v>
      </c>
      <c r="D9" s="38">
        <v>1000000</v>
      </c>
      <c r="E9" s="1114"/>
      <c r="F9" s="1114"/>
    </row>
    <row r="10" spans="1:6" ht="15.95" customHeight="1" x14ac:dyDescent="0.2">
      <c r="A10" s="1012" t="s">
        <v>24</v>
      </c>
      <c r="B10" s="1021" t="s">
        <v>421</v>
      </c>
      <c r="C10" s="1007" t="s">
        <v>418</v>
      </c>
      <c r="D10" s="38">
        <f>5000000</f>
        <v>5000000</v>
      </c>
      <c r="E10" s="1114"/>
      <c r="F10" s="1114"/>
    </row>
    <row r="11" spans="1:6" ht="15.95" customHeight="1" x14ac:dyDescent="0.2">
      <c r="A11" s="716" t="s">
        <v>25</v>
      </c>
      <c r="B11" s="1021" t="s">
        <v>422</v>
      </c>
      <c r="C11" s="248" t="s">
        <v>418</v>
      </c>
      <c r="D11" s="38">
        <f>500000</f>
        <v>500000</v>
      </c>
      <c r="E11" s="1114"/>
      <c r="F11" s="1114"/>
    </row>
    <row r="12" spans="1:6" ht="15.95" customHeight="1" x14ac:dyDescent="0.2">
      <c r="A12" s="1012" t="s">
        <v>26</v>
      </c>
      <c r="B12" s="1021" t="s">
        <v>423</v>
      </c>
      <c r="C12" s="1007" t="s">
        <v>418</v>
      </c>
      <c r="D12" s="38">
        <v>1000000</v>
      </c>
      <c r="E12" s="1114"/>
      <c r="F12" s="1114"/>
    </row>
    <row r="13" spans="1:6" ht="15.95" customHeight="1" x14ac:dyDescent="0.2">
      <c r="A13" s="1012" t="s">
        <v>27</v>
      </c>
      <c r="B13" s="1021" t="s">
        <v>1041</v>
      </c>
      <c r="C13" s="247" t="s">
        <v>418</v>
      </c>
      <c r="D13" s="38">
        <v>1000000</v>
      </c>
      <c r="E13" s="1114"/>
      <c r="F13" s="1114"/>
    </row>
    <row r="14" spans="1:6" ht="15.95" customHeight="1" x14ac:dyDescent="0.2">
      <c r="A14" s="1012" t="s">
        <v>28</v>
      </c>
      <c r="B14" s="1021" t="s">
        <v>714</v>
      </c>
      <c r="C14" s="1007" t="s">
        <v>418</v>
      </c>
      <c r="D14" s="38">
        <v>6299183</v>
      </c>
      <c r="E14" s="1114"/>
      <c r="F14" s="1114"/>
    </row>
    <row r="15" spans="1:6" ht="15.95" customHeight="1" x14ac:dyDescent="0.2">
      <c r="A15" s="716" t="s">
        <v>29</v>
      </c>
      <c r="B15" s="1021" t="s">
        <v>715</v>
      </c>
      <c r="C15" s="1007" t="s">
        <v>418</v>
      </c>
      <c r="D15" s="38">
        <v>2777597</v>
      </c>
      <c r="E15" s="1114"/>
      <c r="F15" s="1114"/>
    </row>
    <row r="16" spans="1:6" ht="15.95" customHeight="1" x14ac:dyDescent="0.2">
      <c r="A16" s="1012" t="s">
        <v>30</v>
      </c>
      <c r="B16" s="1021" t="s">
        <v>928</v>
      </c>
      <c r="C16" s="1007" t="s">
        <v>418</v>
      </c>
      <c r="D16" s="38">
        <v>5327836</v>
      </c>
      <c r="E16" s="1114"/>
      <c r="F16" s="1114"/>
    </row>
    <row r="17" spans="1:6" ht="15.95" customHeight="1" x14ac:dyDescent="0.2">
      <c r="A17" s="1012" t="s">
        <v>31</v>
      </c>
      <c r="B17" s="1021" t="s">
        <v>929</v>
      </c>
      <c r="C17" s="1007" t="s">
        <v>418</v>
      </c>
      <c r="D17" s="38">
        <v>2953846</v>
      </c>
      <c r="E17" s="1114"/>
      <c r="F17" s="1114"/>
    </row>
    <row r="18" spans="1:6" ht="15.95" customHeight="1" x14ac:dyDescent="0.2">
      <c r="A18" s="1012" t="s">
        <v>32</v>
      </c>
      <c r="B18" s="1021" t="s">
        <v>714</v>
      </c>
      <c r="C18" s="1007" t="s">
        <v>424</v>
      </c>
      <c r="D18" s="38">
        <v>990092</v>
      </c>
      <c r="E18" s="1114"/>
      <c r="F18" s="1114"/>
    </row>
    <row r="19" spans="1:6" ht="15.95" customHeight="1" x14ac:dyDescent="0.2">
      <c r="A19" s="716" t="s">
        <v>33</v>
      </c>
      <c r="B19" s="1021" t="s">
        <v>715</v>
      </c>
      <c r="C19" s="1007" t="s">
        <v>424</v>
      </c>
      <c r="D19" s="38">
        <v>3076817</v>
      </c>
      <c r="E19" s="1114"/>
      <c r="F19" s="1114"/>
    </row>
    <row r="20" spans="1:6" ht="15.95" customHeight="1" x14ac:dyDescent="0.2">
      <c r="A20" s="1012" t="s">
        <v>34</v>
      </c>
      <c r="B20" s="1021" t="s">
        <v>928</v>
      </c>
      <c r="C20" s="1007" t="s">
        <v>424</v>
      </c>
      <c r="D20" s="38">
        <v>999592</v>
      </c>
      <c r="E20" s="1114"/>
      <c r="F20" s="1114"/>
    </row>
    <row r="21" spans="1:6" ht="15.95" customHeight="1" x14ac:dyDescent="0.2">
      <c r="A21" s="1012" t="s">
        <v>35</v>
      </c>
      <c r="B21" s="1407" t="s">
        <v>929</v>
      </c>
      <c r="C21" s="1408" t="s">
        <v>424</v>
      </c>
      <c r="D21" s="1409">
        <f>2835398-1023179</f>
        <v>1812219</v>
      </c>
      <c r="E21" s="1114"/>
      <c r="F21" s="1114"/>
    </row>
    <row r="22" spans="1:6" ht="15.95" customHeight="1" x14ac:dyDescent="0.2">
      <c r="A22" s="1012" t="s">
        <v>36</v>
      </c>
      <c r="B22" s="1021" t="s">
        <v>558</v>
      </c>
      <c r="C22" s="1007" t="s">
        <v>418</v>
      </c>
      <c r="D22" s="38">
        <v>200000</v>
      </c>
    </row>
    <row r="23" spans="1:6" ht="15.95" customHeight="1" x14ac:dyDescent="0.2">
      <c r="A23" s="716" t="s">
        <v>37</v>
      </c>
      <c r="B23" s="1021" t="s">
        <v>572</v>
      </c>
      <c r="C23" s="1007" t="s">
        <v>418</v>
      </c>
      <c r="D23" s="38">
        <v>4730000</v>
      </c>
    </row>
    <row r="24" spans="1:6" ht="15.95" customHeight="1" x14ac:dyDescent="0.2">
      <c r="A24" s="1012" t="s">
        <v>38</v>
      </c>
      <c r="B24" s="1021" t="s">
        <v>590</v>
      </c>
      <c r="C24" s="1007" t="s">
        <v>418</v>
      </c>
      <c r="D24" s="38">
        <f>86508996+18000000</f>
        <v>104508996</v>
      </c>
    </row>
    <row r="25" spans="1:6" ht="15.95" customHeight="1" x14ac:dyDescent="0.2">
      <c r="A25" s="1012" t="s">
        <v>39</v>
      </c>
      <c r="B25" s="1021" t="s">
        <v>594</v>
      </c>
      <c r="C25" s="1007" t="s">
        <v>418</v>
      </c>
      <c r="D25" s="38">
        <v>1000000</v>
      </c>
    </row>
    <row r="26" spans="1:6" ht="15.95" customHeight="1" x14ac:dyDescent="0.2">
      <c r="A26" s="1012" t="s">
        <v>40</v>
      </c>
      <c r="B26" s="1021" t="s">
        <v>591</v>
      </c>
      <c r="C26" s="1007" t="s">
        <v>418</v>
      </c>
      <c r="D26" s="38">
        <v>526000</v>
      </c>
    </row>
    <row r="27" spans="1:6" ht="15.95" customHeight="1" x14ac:dyDescent="0.2">
      <c r="A27" s="716" t="s">
        <v>41</v>
      </c>
      <c r="B27" s="1021" t="s">
        <v>716</v>
      </c>
      <c r="C27" s="1007" t="s">
        <v>418</v>
      </c>
      <c r="D27" s="38">
        <v>65012000</v>
      </c>
    </row>
    <row r="28" spans="1:6" ht="15.95" customHeight="1" x14ac:dyDescent="0.2">
      <c r="A28" s="716" t="s">
        <v>42</v>
      </c>
      <c r="B28" s="1021" t="s">
        <v>1013</v>
      </c>
      <c r="C28" s="1007" t="s">
        <v>418</v>
      </c>
      <c r="D28" s="38">
        <v>1620969</v>
      </c>
    </row>
    <row r="29" spans="1:6" ht="15.95" customHeight="1" x14ac:dyDescent="0.2">
      <c r="A29" s="1362" t="s">
        <v>43</v>
      </c>
      <c r="B29" s="1363" t="s">
        <v>1032</v>
      </c>
      <c r="C29" s="24" t="s">
        <v>418</v>
      </c>
      <c r="D29" s="1361">
        <v>986190</v>
      </c>
    </row>
    <row r="30" spans="1:6" ht="15.95" customHeight="1" thickBot="1" x14ac:dyDescent="0.25">
      <c r="A30" s="1362" t="s">
        <v>44</v>
      </c>
      <c r="B30" s="1363" t="s">
        <v>1033</v>
      </c>
      <c r="C30" s="24" t="s">
        <v>418</v>
      </c>
      <c r="D30" s="1364">
        <v>935000</v>
      </c>
    </row>
    <row r="31" spans="1:6" ht="15.95" customHeight="1" thickBot="1" x14ac:dyDescent="0.25">
      <c r="A31" s="1561" t="s">
        <v>54</v>
      </c>
      <c r="B31" s="1562"/>
      <c r="C31" s="79"/>
      <c r="D31" s="715">
        <f>SUM(D7:D30)</f>
        <v>220756337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Munka52">
    <pageSetUpPr fitToPage="1"/>
  </sheetPr>
  <dimension ref="A1:GL69"/>
  <sheetViews>
    <sheetView topLeftCell="A25" zoomScaleNormal="100" zoomScaleSheetLayoutView="85" zoomScalePageLayoutView="85" workbookViewId="0">
      <selection activeCell="G35" sqref="G35"/>
    </sheetView>
  </sheetViews>
  <sheetFormatPr defaultColWidth="10.6640625" defaultRowHeight="12.75" x14ac:dyDescent="0.2"/>
  <cols>
    <col min="1" max="1" width="10.6640625" style="1080"/>
    <col min="2" max="2" width="42.33203125" style="1080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7" bestFit="1" customWidth="1"/>
    <col min="9" max="9" width="1.1640625" style="324" customWidth="1"/>
    <col min="10" max="11" width="12.6640625" style="1080" bestFit="1" customWidth="1"/>
    <col min="12" max="12" width="13.33203125" style="1080" bestFit="1" customWidth="1"/>
    <col min="13" max="14" width="11.83203125" style="1080" bestFit="1" customWidth="1"/>
    <col min="15" max="15" width="15.1640625" style="325" bestFit="1" customWidth="1"/>
    <col min="16" max="16" width="15.1640625" style="1080" customWidth="1"/>
    <col min="17" max="16384" width="10.6640625" style="1080"/>
  </cols>
  <sheetData>
    <row r="1" spans="1:194" x14ac:dyDescent="0.2">
      <c r="A1" s="1584" t="str">
        <f>CONCATENATE("27. melléklet"," ",ALAPADATOK!A7," ",ALAPADATOK!B7," ",ALAPADATOK!C7," ",ALAPADATOK!D7," ",ALAPADATOK!E7," ",ALAPADATOK!F7," ",ALAPADATOK!G7," ",ALAPADATOK!H7)</f>
        <v>27. melléklet a  / 2020. (  ) önkormányzati rendelethez</v>
      </c>
      <c r="B1" s="1584"/>
      <c r="C1" s="1584"/>
      <c r="D1" s="1584"/>
      <c r="E1" s="1584"/>
      <c r="F1" s="1584"/>
      <c r="G1" s="1584"/>
      <c r="H1" s="1584"/>
      <c r="I1" s="1584"/>
      <c r="J1" s="1584"/>
      <c r="K1" s="1584"/>
      <c r="L1" s="1584"/>
      <c r="M1" s="1584"/>
      <c r="N1" s="1584"/>
      <c r="O1" s="1584"/>
    </row>
    <row r="2" spans="1:194" ht="12.75" customHeight="1" x14ac:dyDescent="0.2">
      <c r="B2" s="326"/>
      <c r="F2" s="327"/>
      <c r="J2" s="326"/>
      <c r="K2" s="1585" t="s">
        <v>1027</v>
      </c>
      <c r="L2" s="1585"/>
      <c r="M2" s="1585"/>
      <c r="N2" s="1585"/>
      <c r="O2" s="1585"/>
    </row>
    <row r="3" spans="1:194" ht="17.25" customHeight="1" x14ac:dyDescent="0.35">
      <c r="A3" s="1586" t="s">
        <v>828</v>
      </c>
      <c r="B3" s="1586"/>
      <c r="C3" s="1586"/>
      <c r="D3" s="1586"/>
      <c r="E3" s="1586"/>
      <c r="F3" s="1586"/>
      <c r="G3" s="1586"/>
      <c r="H3" s="1586"/>
      <c r="I3" s="1586"/>
      <c r="J3" s="1586"/>
      <c r="K3" s="1586"/>
      <c r="L3" s="1586"/>
      <c r="M3" s="1586"/>
      <c r="N3" s="1586"/>
      <c r="O3" s="1586"/>
      <c r="P3" s="1091"/>
    </row>
    <row r="4" spans="1:194" ht="19.5" x14ac:dyDescent="0.35">
      <c r="A4" s="1587" t="s">
        <v>425</v>
      </c>
      <c r="B4" s="1587"/>
      <c r="C4" s="1587"/>
      <c r="D4" s="1587"/>
      <c r="E4" s="1587"/>
      <c r="F4" s="1587"/>
      <c r="G4" s="1587"/>
      <c r="H4" s="1587"/>
      <c r="I4" s="1587"/>
      <c r="J4" s="1587"/>
      <c r="K4" s="1587"/>
      <c r="L4" s="1587"/>
      <c r="M4" s="1587"/>
      <c r="N4" s="1587"/>
      <c r="O4" s="1587"/>
      <c r="P4" s="1091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8"/>
      <c r="I5" s="330"/>
      <c r="J5" s="331"/>
      <c r="K5" s="331"/>
      <c r="L5" s="331"/>
      <c r="M5" s="331"/>
      <c r="N5" s="331"/>
      <c r="O5" s="328" t="s">
        <v>380</v>
      </c>
      <c r="P5" s="1091"/>
    </row>
    <row r="6" spans="1:194" ht="15.75" x14ac:dyDescent="0.25">
      <c r="A6" s="1588" t="s">
        <v>717</v>
      </c>
      <c r="B6" s="1591" t="s">
        <v>165</v>
      </c>
      <c r="C6" s="1594" t="s">
        <v>426</v>
      </c>
      <c r="D6" s="1595"/>
      <c r="E6" s="1595"/>
      <c r="F6" s="1595"/>
      <c r="G6" s="1595"/>
      <c r="H6" s="1596"/>
      <c r="I6" s="333"/>
      <c r="J6" s="1594" t="s">
        <v>427</v>
      </c>
      <c r="K6" s="1595"/>
      <c r="L6" s="1595"/>
      <c r="M6" s="1595"/>
      <c r="N6" s="1595"/>
      <c r="O6" s="1596"/>
      <c r="P6" s="1091"/>
    </row>
    <row r="7" spans="1:194" x14ac:dyDescent="0.2">
      <c r="A7" s="1589"/>
      <c r="B7" s="1592"/>
      <c r="C7" s="334" t="s">
        <v>428</v>
      </c>
      <c r="D7" s="335" t="s">
        <v>393</v>
      </c>
      <c r="E7" s="335" t="s">
        <v>438</v>
      </c>
      <c r="F7" s="335" t="s">
        <v>429</v>
      </c>
      <c r="G7" s="335" t="s">
        <v>540</v>
      </c>
      <c r="H7" s="759" t="s">
        <v>653</v>
      </c>
      <c r="I7" s="337"/>
      <c r="J7" s="334" t="s">
        <v>428</v>
      </c>
      <c r="K7" s="335" t="s">
        <v>393</v>
      </c>
      <c r="L7" s="335" t="s">
        <v>441</v>
      </c>
      <c r="M7" s="335" t="s">
        <v>123</v>
      </c>
      <c r="N7" s="335" t="s">
        <v>439</v>
      </c>
      <c r="O7" s="336" t="s">
        <v>654</v>
      </c>
      <c r="P7" s="1091"/>
    </row>
    <row r="8" spans="1:194" ht="13.5" thickBot="1" x14ac:dyDescent="0.25">
      <c r="A8" s="1590"/>
      <c r="B8" s="1593"/>
      <c r="C8" s="370" t="s">
        <v>430</v>
      </c>
      <c r="D8" s="371" t="s">
        <v>430</v>
      </c>
      <c r="E8" s="371" t="s">
        <v>430</v>
      </c>
      <c r="F8" s="371" t="s">
        <v>431</v>
      </c>
      <c r="G8" s="371"/>
      <c r="H8" s="760" t="s">
        <v>432</v>
      </c>
      <c r="I8" s="745"/>
      <c r="J8" s="370" t="s">
        <v>433</v>
      </c>
      <c r="K8" s="371" t="s">
        <v>399</v>
      </c>
      <c r="L8" s="371" t="s">
        <v>395</v>
      </c>
      <c r="M8" s="371"/>
      <c r="N8" s="371"/>
      <c r="O8" s="372" t="s">
        <v>434</v>
      </c>
      <c r="P8" s="1091"/>
    </row>
    <row r="9" spans="1:194" ht="14.25" thickBot="1" x14ac:dyDescent="0.3">
      <c r="A9" s="1565" t="s">
        <v>718</v>
      </c>
      <c r="B9" s="1566"/>
      <c r="C9" s="1567"/>
      <c r="D9" s="1567"/>
      <c r="E9" s="1567"/>
      <c r="F9" s="1567"/>
      <c r="G9" s="1567"/>
      <c r="H9" s="1567"/>
      <c r="I9" s="1567"/>
      <c r="J9" s="1567"/>
      <c r="K9" s="1567"/>
      <c r="L9" s="1567"/>
      <c r="M9" s="1567"/>
      <c r="N9" s="1567"/>
      <c r="O9" s="1568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6" t="s">
        <v>719</v>
      </c>
      <c r="B10" s="737" t="s">
        <v>725</v>
      </c>
      <c r="C10" s="728">
        <f>127000</f>
        <v>127000</v>
      </c>
      <c r="D10" s="725"/>
      <c r="E10" s="725"/>
      <c r="F10" s="725"/>
      <c r="G10" s="725"/>
      <c r="H10" s="338">
        <f t="shared" ref="H10:H15" si="0">SUM(C10:G10)</f>
        <v>127000</v>
      </c>
      <c r="I10" s="1410"/>
      <c r="J10" s="723">
        <f>31040542-347250-638940</f>
        <v>30054352</v>
      </c>
      <c r="K10" s="722">
        <v>2072640</v>
      </c>
      <c r="L10" s="722"/>
      <c r="M10" s="722"/>
      <c r="N10" s="722"/>
      <c r="O10" s="1094">
        <f t="shared" ref="O10:O15" si="1">SUM(J10:N10)</f>
        <v>32126992</v>
      </c>
      <c r="P10" s="1091"/>
    </row>
    <row r="11" spans="1:194" x14ac:dyDescent="0.2">
      <c r="A11" s="738" t="s">
        <v>720</v>
      </c>
      <c r="B11" s="739" t="s">
        <v>726</v>
      </c>
      <c r="C11" s="1081"/>
      <c r="D11" s="1082"/>
      <c r="E11" s="1082"/>
      <c r="F11" s="1082"/>
      <c r="G11" s="1082"/>
      <c r="H11" s="1094">
        <f t="shared" si="0"/>
        <v>0</v>
      </c>
      <c r="I11" s="1410"/>
      <c r="J11" s="1084">
        <v>1000000</v>
      </c>
      <c r="K11" s="1082"/>
      <c r="L11" s="1082"/>
      <c r="M11" s="1082"/>
      <c r="N11" s="1082"/>
      <c r="O11" s="1094">
        <f t="shared" si="1"/>
        <v>1000000</v>
      </c>
      <c r="P11" s="1091"/>
    </row>
    <row r="12" spans="1:194" ht="25.5" x14ac:dyDescent="0.2">
      <c r="A12" s="738" t="s">
        <v>721</v>
      </c>
      <c r="B12" s="739" t="s">
        <v>727</v>
      </c>
      <c r="C12" s="1081">
        <f>36271956+565200+152604+956791</f>
        <v>37946551</v>
      </c>
      <c r="D12" s="1082">
        <f>44304508</f>
        <v>44304508</v>
      </c>
      <c r="E12" s="1082"/>
      <c r="F12" s="1082"/>
      <c r="G12" s="1082"/>
      <c r="H12" s="1085">
        <f t="shared" si="0"/>
        <v>82251059</v>
      </c>
      <c r="I12" s="766"/>
      <c r="J12" s="1178">
        <f>30612954+565200+152604+956791+17328417+318946+388095+300000</f>
        <v>50623007</v>
      </c>
      <c r="K12" s="1082">
        <f>199637534+594360</f>
        <v>200231894</v>
      </c>
      <c r="L12" s="1082"/>
      <c r="M12" s="1082"/>
      <c r="N12" s="1082"/>
      <c r="O12" s="1094">
        <f t="shared" si="1"/>
        <v>250854901</v>
      </c>
      <c r="P12" s="1091"/>
    </row>
    <row r="13" spans="1:194" ht="25.5" x14ac:dyDescent="0.2">
      <c r="A13" s="738" t="s">
        <v>722</v>
      </c>
      <c r="B13" s="739" t="s">
        <v>442</v>
      </c>
      <c r="C13" s="1081">
        <f>1560000+675000-47244-12756+34000</f>
        <v>2209000</v>
      </c>
      <c r="D13" s="342"/>
      <c r="E13" s="1082"/>
      <c r="F13" s="1082"/>
      <c r="G13" s="1082"/>
      <c r="H13" s="1085">
        <f t="shared" si="0"/>
        <v>2209000</v>
      </c>
      <c r="I13" s="1411" t="e">
        <f>SUM(#REF!)</f>
        <v>#REF!</v>
      </c>
      <c r="J13" s="1084">
        <f>7396164+87795+23705-36461-415012</f>
        <v>7056191</v>
      </c>
      <c r="K13" s="1082">
        <v>300000</v>
      </c>
      <c r="L13" s="1082"/>
      <c r="M13" s="1082"/>
      <c r="N13" s="1082"/>
      <c r="O13" s="1094">
        <f t="shared" si="1"/>
        <v>7356191</v>
      </c>
      <c r="P13" s="1091"/>
    </row>
    <row r="14" spans="1:194" ht="25.5" x14ac:dyDescent="0.2">
      <c r="A14" s="738" t="s">
        <v>723</v>
      </c>
      <c r="B14" s="739" t="s">
        <v>728</v>
      </c>
      <c r="C14" s="1081">
        <f>1503038688+33216359+12622000+27629700+45672254-62000-27567700+477000+50111619+4495800</f>
        <v>1649633720</v>
      </c>
      <c r="D14" s="1063">
        <f>34511116</f>
        <v>34511116</v>
      </c>
      <c r="E14" s="1082"/>
      <c r="F14" s="343"/>
      <c r="G14" s="343"/>
      <c r="H14" s="1085">
        <f t="shared" si="0"/>
        <v>1684144836</v>
      </c>
      <c r="I14" s="1410"/>
      <c r="J14" s="1084">
        <f>45672254+792176+18509+3737</f>
        <v>46486676</v>
      </c>
      <c r="K14" s="1063"/>
      <c r="L14" s="343"/>
      <c r="M14" s="343"/>
      <c r="N14" s="343"/>
      <c r="O14" s="1094">
        <f t="shared" si="1"/>
        <v>46486676</v>
      </c>
      <c r="P14" s="1091"/>
    </row>
    <row r="15" spans="1:194" ht="13.5" thickBot="1" x14ac:dyDescent="0.25">
      <c r="A15" s="740" t="s">
        <v>724</v>
      </c>
      <c r="B15" s="1095" t="s">
        <v>440</v>
      </c>
      <c r="C15" s="729"/>
      <c r="D15" s="763"/>
      <c r="E15" s="727"/>
      <c r="F15" s="727"/>
      <c r="G15" s="727">
        <f>933393998+8179828-3268740</f>
        <v>938305086</v>
      </c>
      <c r="H15" s="761">
        <f t="shared" si="0"/>
        <v>938305086</v>
      </c>
      <c r="I15" s="1410"/>
      <c r="J15" s="1089">
        <v>526000</v>
      </c>
      <c r="K15" s="1087"/>
      <c r="L15" s="483">
        <v>1513022489</v>
      </c>
      <c r="M15" s="1087"/>
      <c r="N15" s="1087"/>
      <c r="O15" s="1094">
        <f t="shared" si="1"/>
        <v>1513548489</v>
      </c>
      <c r="P15" s="1091"/>
    </row>
    <row r="16" spans="1:194" ht="14.25" thickBot="1" x14ac:dyDescent="0.3">
      <c r="A16" s="1569" t="s">
        <v>729</v>
      </c>
      <c r="B16" s="1570"/>
      <c r="C16" s="1567"/>
      <c r="D16" s="1567"/>
      <c r="E16" s="1567"/>
      <c r="F16" s="1567"/>
      <c r="G16" s="1567"/>
      <c r="H16" s="1567"/>
      <c r="I16" s="1567"/>
      <c r="J16" s="1567"/>
      <c r="K16" s="1567"/>
      <c r="L16" s="1567"/>
      <c r="M16" s="1567"/>
      <c r="N16" s="1567"/>
      <c r="O16" s="1568"/>
      <c r="P16" s="1091"/>
    </row>
    <row r="17" spans="1:16" s="1091" customFormat="1" ht="26.25" thickBot="1" x14ac:dyDescent="0.25">
      <c r="A17" s="755" t="s">
        <v>730</v>
      </c>
      <c r="B17" s="756" t="s">
        <v>731</v>
      </c>
      <c r="C17" s="748"/>
      <c r="D17" s="746"/>
      <c r="E17" s="746"/>
      <c r="F17" s="746"/>
      <c r="G17" s="746"/>
      <c r="H17" s="747">
        <f>SUM(C17:G17)</f>
        <v>0</v>
      </c>
      <c r="I17" s="753"/>
      <c r="J17" s="749">
        <f>2000</f>
        <v>2000</v>
      </c>
      <c r="K17" s="746"/>
      <c r="L17" s="746"/>
      <c r="M17" s="746"/>
      <c r="N17" s="746"/>
      <c r="O17" s="1094">
        <f>SUM(J17:N17)</f>
        <v>2000</v>
      </c>
    </row>
    <row r="18" spans="1:16" s="1091" customFormat="1" ht="14.25" thickBot="1" x14ac:dyDescent="0.3">
      <c r="A18" s="1571" t="s">
        <v>768</v>
      </c>
      <c r="B18" s="1572" t="s">
        <v>768</v>
      </c>
      <c r="C18" s="1566" t="s">
        <v>768</v>
      </c>
      <c r="D18" s="1566" t="s">
        <v>768</v>
      </c>
      <c r="E18" s="1566" t="s">
        <v>768</v>
      </c>
      <c r="F18" s="1566" t="s">
        <v>768</v>
      </c>
      <c r="G18" s="1566" t="s">
        <v>768</v>
      </c>
      <c r="H18" s="1566" t="s">
        <v>768</v>
      </c>
      <c r="I18" s="1567" t="s">
        <v>768</v>
      </c>
      <c r="J18" s="1566" t="s">
        <v>768</v>
      </c>
      <c r="K18" s="1566" t="s">
        <v>768</v>
      </c>
      <c r="L18" s="1566" t="s">
        <v>768</v>
      </c>
      <c r="M18" s="1566" t="s">
        <v>768</v>
      </c>
      <c r="N18" s="1566" t="s">
        <v>768</v>
      </c>
      <c r="O18" s="1573" t="s">
        <v>768</v>
      </c>
    </row>
    <row r="19" spans="1:16" s="1091" customFormat="1" x14ac:dyDescent="0.2">
      <c r="A19" s="730" t="s">
        <v>769</v>
      </c>
      <c r="B19" s="731" t="s">
        <v>770</v>
      </c>
      <c r="C19" s="728"/>
      <c r="D19" s="725"/>
      <c r="E19" s="725"/>
      <c r="F19" s="725"/>
      <c r="G19" s="725"/>
      <c r="H19" s="338">
        <f t="shared" ref="H19:H25" si="2">SUM(C19:G19)</f>
        <v>0</v>
      </c>
      <c r="I19" s="1090"/>
      <c r="J19" s="724">
        <v>46431577</v>
      </c>
      <c r="K19" s="725">
        <v>10000000</v>
      </c>
      <c r="L19" s="725"/>
      <c r="M19" s="725"/>
      <c r="N19" s="725"/>
      <c r="O19" s="338">
        <f t="shared" ref="O19:O25" si="3">SUM(J19:N19)</f>
        <v>56431577</v>
      </c>
    </row>
    <row r="20" spans="1:16" s="1091" customFormat="1" ht="25.5" x14ac:dyDescent="0.2">
      <c r="A20" s="732" t="s">
        <v>771</v>
      </c>
      <c r="B20" s="733" t="s">
        <v>772</v>
      </c>
      <c r="C20" s="1081">
        <v>3150000</v>
      </c>
      <c r="D20" s="1082"/>
      <c r="E20" s="1082"/>
      <c r="F20" s="1082"/>
      <c r="G20" s="1082"/>
      <c r="H20" s="1085">
        <f t="shared" si="2"/>
        <v>3150000</v>
      </c>
      <c r="I20" s="1090"/>
      <c r="J20" s="1084">
        <f>2528061</f>
        <v>2528061</v>
      </c>
      <c r="K20" s="1082"/>
      <c r="L20" s="1082"/>
      <c r="M20" s="1082"/>
      <c r="N20" s="1082"/>
      <c r="O20" s="1085">
        <f t="shared" si="3"/>
        <v>2528061</v>
      </c>
    </row>
    <row r="21" spans="1:16" s="1091" customFormat="1" x14ac:dyDescent="0.2">
      <c r="A21" s="732" t="s">
        <v>773</v>
      </c>
      <c r="B21" s="733" t="s">
        <v>774</v>
      </c>
      <c r="C21" s="1081"/>
      <c r="D21" s="1082"/>
      <c r="E21" s="1082"/>
      <c r="F21" s="1082"/>
      <c r="G21" s="1082"/>
      <c r="H21" s="1085">
        <f t="shared" si="2"/>
        <v>0</v>
      </c>
      <c r="I21" s="1090"/>
      <c r="J21" s="1084">
        <f>6840212-649147-3071183</f>
        <v>3119882</v>
      </c>
      <c r="K21" s="1082">
        <f>30209788-2000000+109147-13000000-438817</f>
        <v>14880118</v>
      </c>
      <c r="L21" s="1082"/>
      <c r="M21" s="1082"/>
      <c r="N21" s="1082"/>
      <c r="O21" s="1085">
        <f t="shared" si="3"/>
        <v>18000000</v>
      </c>
    </row>
    <row r="22" spans="1:16" s="1091" customFormat="1" ht="25.5" x14ac:dyDescent="0.2">
      <c r="A22" s="732" t="s">
        <v>775</v>
      </c>
      <c r="B22" s="733" t="s">
        <v>776</v>
      </c>
      <c r="C22" s="1081"/>
      <c r="D22" s="1082"/>
      <c r="E22" s="1082"/>
      <c r="F22" s="1082"/>
      <c r="G22" s="1082"/>
      <c r="H22" s="1085">
        <f t="shared" si="2"/>
        <v>0</v>
      </c>
      <c r="I22" s="1090"/>
      <c r="J22" s="1084">
        <f>402897+6604733</f>
        <v>7007630</v>
      </c>
      <c r="K22" s="1063">
        <f>92092353+2000000+36403922+9610899</f>
        <v>140107174</v>
      </c>
      <c r="L22" s="1082"/>
      <c r="M22" s="1082"/>
      <c r="N22" s="1082"/>
      <c r="O22" s="1085">
        <f t="shared" si="3"/>
        <v>147114804</v>
      </c>
    </row>
    <row r="23" spans="1:16" s="1091" customFormat="1" ht="25.5" x14ac:dyDescent="0.2">
      <c r="A23" s="1224" t="s">
        <v>1014</v>
      </c>
      <c r="B23" s="1225" t="s">
        <v>1015</v>
      </c>
      <c r="C23" s="1226"/>
      <c r="D23" s="1082">
        <v>6000000</v>
      </c>
      <c r="E23" s="1227"/>
      <c r="F23" s="1227"/>
      <c r="G23" s="1063"/>
      <c r="H23" s="1085">
        <f>SUM(C23:G23)</f>
        <v>6000000</v>
      </c>
      <c r="I23" s="1179"/>
      <c r="J23" s="1178"/>
      <c r="K23" s="1082">
        <v>6000000</v>
      </c>
      <c r="L23" s="1063"/>
      <c r="M23" s="1063"/>
      <c r="N23" s="1063"/>
      <c r="O23" s="1085">
        <f t="shared" si="3"/>
        <v>6000000</v>
      </c>
    </row>
    <row r="24" spans="1:16" s="1091" customFormat="1" ht="25.5" x14ac:dyDescent="0.2">
      <c r="A24" s="732" t="s">
        <v>777</v>
      </c>
      <c r="B24" s="733" t="s">
        <v>778</v>
      </c>
      <c r="C24" s="1081"/>
      <c r="D24" s="1082"/>
      <c r="E24" s="1082"/>
      <c r="F24" s="1082"/>
      <c r="G24" s="1082"/>
      <c r="H24" s="1085">
        <f t="shared" si="2"/>
        <v>0</v>
      </c>
      <c r="I24" s="1090"/>
      <c r="J24" s="1084">
        <f>3163512+488</f>
        <v>3164000</v>
      </c>
      <c r="K24" s="1082">
        <f>5016896+233091-59267</f>
        <v>5190720</v>
      </c>
      <c r="L24" s="1082"/>
      <c r="M24" s="1082"/>
      <c r="N24" s="1082"/>
      <c r="O24" s="1085">
        <f t="shared" si="3"/>
        <v>8354720</v>
      </c>
    </row>
    <row r="25" spans="1:16" s="1091" customFormat="1" ht="26.25" thickBot="1" x14ac:dyDescent="0.25">
      <c r="A25" s="734" t="s">
        <v>779</v>
      </c>
      <c r="B25" s="735" t="s">
        <v>780</v>
      </c>
      <c r="C25" s="729"/>
      <c r="D25" s="727"/>
      <c r="E25" s="727"/>
      <c r="F25" s="727"/>
      <c r="G25" s="727"/>
      <c r="H25" s="761">
        <f t="shared" si="2"/>
        <v>0</v>
      </c>
      <c r="I25" s="1090"/>
      <c r="J25" s="754">
        <v>723900</v>
      </c>
      <c r="K25" s="727">
        <v>1016000</v>
      </c>
      <c r="L25" s="727"/>
      <c r="M25" s="727"/>
      <c r="N25" s="727"/>
      <c r="O25" s="761">
        <f t="shared" si="3"/>
        <v>1739900</v>
      </c>
    </row>
    <row r="26" spans="1:16" ht="14.25" thickBot="1" x14ac:dyDescent="0.3">
      <c r="A26" s="1571" t="s">
        <v>732</v>
      </c>
      <c r="B26" s="1572"/>
      <c r="C26" s="1572"/>
      <c r="D26" s="1572"/>
      <c r="E26" s="1572"/>
      <c r="F26" s="1572"/>
      <c r="G26" s="1572"/>
      <c r="H26" s="1572"/>
      <c r="I26" s="1567"/>
      <c r="J26" s="1572"/>
      <c r="K26" s="1572"/>
      <c r="L26" s="1572"/>
      <c r="M26" s="1572"/>
      <c r="N26" s="1572"/>
      <c r="O26" s="1574"/>
      <c r="P26" s="1091"/>
    </row>
    <row r="27" spans="1:16" ht="25.5" x14ac:dyDescent="0.2">
      <c r="A27" s="1064" t="s">
        <v>733</v>
      </c>
      <c r="B27" s="1065" t="s">
        <v>734</v>
      </c>
      <c r="C27" s="725">
        <v>507601</v>
      </c>
      <c r="D27" s="741"/>
      <c r="E27" s="741"/>
      <c r="F27" s="741"/>
      <c r="G27" s="741"/>
      <c r="H27" s="338">
        <f>SUM(C27:G27)</f>
        <v>507601</v>
      </c>
      <c r="I27" s="742"/>
      <c r="J27" s="724">
        <v>15896113</v>
      </c>
      <c r="K27" s="741"/>
      <c r="L27" s="741"/>
      <c r="M27" s="741"/>
      <c r="N27" s="741"/>
      <c r="O27" s="338">
        <f>SUM(J27:N27)</f>
        <v>15896113</v>
      </c>
      <c r="P27" s="1091"/>
    </row>
    <row r="28" spans="1:16" ht="25.5" x14ac:dyDescent="0.2">
      <c r="A28" s="1066" t="s">
        <v>735</v>
      </c>
      <c r="B28" s="1062" t="s">
        <v>445</v>
      </c>
      <c r="C28" s="1082"/>
      <c r="D28" s="1082"/>
      <c r="E28" s="1082"/>
      <c r="F28" s="1082"/>
      <c r="G28" s="1082"/>
      <c r="H28" s="1085">
        <f>SUM(C28:G28)</f>
        <v>0</v>
      </c>
      <c r="I28" s="344"/>
      <c r="J28" s="345">
        <v>835000</v>
      </c>
      <c r="K28" s="343"/>
      <c r="L28" s="343"/>
      <c r="M28" s="343"/>
      <c r="N28" s="343"/>
      <c r="O28" s="1085">
        <f>SUM(J28:N28)</f>
        <v>835000</v>
      </c>
      <c r="P28" s="1091"/>
    </row>
    <row r="29" spans="1:16" ht="25.5" x14ac:dyDescent="0.2">
      <c r="A29" s="1066" t="s">
        <v>736</v>
      </c>
      <c r="B29" s="1062" t="s">
        <v>737</v>
      </c>
      <c r="C29" s="1082">
        <f>900000</f>
        <v>900000</v>
      </c>
      <c r="D29" s="343"/>
      <c r="E29" s="1063"/>
      <c r="F29" s="343"/>
      <c r="G29" s="343"/>
      <c r="H29" s="1085">
        <f>SUM(C29:G29)</f>
        <v>900000</v>
      </c>
      <c r="I29" s="344"/>
      <c r="J29" s="1061"/>
      <c r="K29" s="1082">
        <v>359410</v>
      </c>
      <c r="L29" s="343"/>
      <c r="M29" s="343"/>
      <c r="N29" s="343"/>
      <c r="O29" s="1085">
        <f>SUM(J29:N29)</f>
        <v>359410</v>
      </c>
      <c r="P29" s="1091"/>
    </row>
    <row r="30" spans="1:16" ht="26.25" thickBot="1" x14ac:dyDescent="0.25">
      <c r="A30" s="1067" t="s">
        <v>947</v>
      </c>
      <c r="B30" s="1068" t="s">
        <v>946</v>
      </c>
      <c r="C30" s="727">
        <v>16392698</v>
      </c>
      <c r="D30" s="743">
        <v>2634996</v>
      </c>
      <c r="E30" s="726"/>
      <c r="F30" s="743"/>
      <c r="G30" s="743"/>
      <c r="H30" s="1085">
        <f>SUM(C30:G30)</f>
        <v>19027694</v>
      </c>
      <c r="I30" s="744"/>
      <c r="J30" s="1075">
        <v>16392698</v>
      </c>
      <c r="K30" s="727">
        <v>2634996</v>
      </c>
      <c r="L30" s="743"/>
      <c r="M30" s="743"/>
      <c r="N30" s="743"/>
      <c r="O30" s="1085">
        <f>SUM(J30:N30)</f>
        <v>19027694</v>
      </c>
      <c r="P30" s="1091"/>
    </row>
    <row r="31" spans="1:16" ht="14.25" thickBot="1" x14ac:dyDescent="0.3">
      <c r="A31" s="1575" t="s">
        <v>743</v>
      </c>
      <c r="B31" s="1576"/>
      <c r="C31" s="1577"/>
      <c r="D31" s="1577"/>
      <c r="E31" s="1577"/>
      <c r="F31" s="1577"/>
      <c r="G31" s="1577"/>
      <c r="H31" s="1577"/>
      <c r="I31" s="1577"/>
      <c r="J31" s="1577"/>
      <c r="K31" s="1577"/>
      <c r="L31" s="1577"/>
      <c r="M31" s="1577"/>
      <c r="N31" s="1577"/>
      <c r="O31" s="1578"/>
      <c r="P31" s="1091"/>
    </row>
    <row r="32" spans="1:16" ht="25.5" x14ac:dyDescent="0.2">
      <c r="A32" s="1064" t="s">
        <v>948</v>
      </c>
      <c r="B32" s="1069" t="s">
        <v>949</v>
      </c>
      <c r="C32" s="724">
        <f>36497760+243600-13262610</f>
        <v>23478750</v>
      </c>
      <c r="D32" s="725">
        <f>24124550-2533650</f>
        <v>21590900</v>
      </c>
      <c r="E32" s="728"/>
      <c r="F32" s="725"/>
      <c r="G32" s="725"/>
      <c r="H32" s="338">
        <f>SUM(C32:G32)</f>
        <v>45069650</v>
      </c>
      <c r="I32" s="344"/>
      <c r="J32" s="1412">
        <f>64017704+780000+243600-780000-4704803-1270297-2465446-4957064+135000+287250+125850-413100+11255853</f>
        <v>62254547</v>
      </c>
      <c r="K32" s="1180">
        <f>505446492+780000-780000-1995000-538650+771575-11646428</f>
        <v>492037989</v>
      </c>
      <c r="L32" s="725"/>
      <c r="M32" s="725"/>
      <c r="N32" s="725"/>
      <c r="O32" s="338">
        <f>SUM(J32:N32)</f>
        <v>554292536</v>
      </c>
      <c r="P32" s="1091"/>
    </row>
    <row r="33" spans="1:16" x14ac:dyDescent="0.2">
      <c r="A33" s="1066" t="s">
        <v>738</v>
      </c>
      <c r="B33" s="1070" t="s">
        <v>435</v>
      </c>
      <c r="C33" s="723"/>
      <c r="D33" s="722"/>
      <c r="E33" s="721"/>
      <c r="F33" s="722"/>
      <c r="G33" s="722"/>
      <c r="H33" s="1094">
        <f>SUM(C33:G33)</f>
        <v>0</v>
      </c>
      <c r="I33" s="344"/>
      <c r="J33" s="723">
        <f>27408638+101600</f>
        <v>27510238</v>
      </c>
      <c r="K33" s="722">
        <v>381000</v>
      </c>
      <c r="L33" s="722"/>
      <c r="M33" s="722"/>
      <c r="N33" s="722"/>
      <c r="O33" s="1094">
        <f>SUM(J33:N33)</f>
        <v>27891238</v>
      </c>
      <c r="P33" s="1091"/>
    </row>
    <row r="34" spans="1:16" x14ac:dyDescent="0.2">
      <c r="A34" s="1066" t="s">
        <v>739</v>
      </c>
      <c r="B34" s="1070" t="s">
        <v>740</v>
      </c>
      <c r="C34" s="1072"/>
      <c r="D34" s="1082"/>
      <c r="E34" s="1082"/>
      <c r="F34" s="1082"/>
      <c r="G34" s="1082"/>
      <c r="H34" s="1085">
        <f>SUM(C34:G34)</f>
        <v>0</v>
      </c>
      <c r="I34" s="344"/>
      <c r="J34" s="1084">
        <f>190500+15489215</f>
        <v>15679715</v>
      </c>
      <c r="K34" s="1082">
        <v>1000000</v>
      </c>
      <c r="L34" s="1082"/>
      <c r="M34" s="1082"/>
      <c r="N34" s="1082"/>
      <c r="O34" s="1094">
        <f>SUM(J34:N34)</f>
        <v>16679715</v>
      </c>
      <c r="P34" s="1091"/>
    </row>
    <row r="35" spans="1:16" ht="26.25" thickBot="1" x14ac:dyDescent="0.25">
      <c r="A35" s="1067" t="s">
        <v>741</v>
      </c>
      <c r="B35" s="1071" t="s">
        <v>742</v>
      </c>
      <c r="C35" s="754">
        <f>6393254+1350000+200000+3626117</f>
        <v>11569371</v>
      </c>
      <c r="D35" s="727"/>
      <c r="E35" s="727">
        <v>8000000</v>
      </c>
      <c r="F35" s="727"/>
      <c r="G35" s="727"/>
      <c r="H35" s="761">
        <f>SUM(C35:G35)</f>
        <v>19569371</v>
      </c>
      <c r="I35" s="767"/>
      <c r="J35" s="754">
        <f>49736618+22713471+386400+67620+3626117+208000+36088-520000-236220-63780-360000-97200+5376+216</f>
        <v>75502706</v>
      </c>
      <c r="K35" s="727">
        <f>40233999+400000</f>
        <v>40633999</v>
      </c>
      <c r="L35" s="727"/>
      <c r="M35" s="727"/>
      <c r="N35" s="727"/>
      <c r="O35" s="1073">
        <f>SUM(J35:N35)</f>
        <v>116136705</v>
      </c>
      <c r="P35" s="1091"/>
    </row>
    <row r="36" spans="1:16" ht="15.75" thickBot="1" x14ac:dyDescent="0.3">
      <c r="A36" s="1579" t="s">
        <v>744</v>
      </c>
      <c r="B36" s="1580"/>
      <c r="C36" s="1580"/>
      <c r="D36" s="1580"/>
      <c r="E36" s="1580"/>
      <c r="F36" s="1580"/>
      <c r="G36" s="1580"/>
      <c r="H36" s="1580"/>
      <c r="I36" s="1580"/>
      <c r="J36" s="1580"/>
      <c r="K36" s="1580"/>
      <c r="L36" s="1580"/>
      <c r="M36" s="1580"/>
      <c r="N36" s="1580"/>
      <c r="O36" s="1581"/>
      <c r="P36" s="1091"/>
    </row>
    <row r="37" spans="1:16" x14ac:dyDescent="0.2">
      <c r="A37" s="1228" t="s">
        <v>1016</v>
      </c>
      <c r="B37" s="1229" t="s">
        <v>1017</v>
      </c>
      <c r="C37" s="728">
        <v>2768669</v>
      </c>
      <c r="D37" s="1183"/>
      <c r="E37" s="1183"/>
      <c r="F37" s="1183"/>
      <c r="G37" s="1183"/>
      <c r="H37" s="338">
        <f t="shared" ref="H37:H43" si="4">SUM(C37:G37)</f>
        <v>2768669</v>
      </c>
      <c r="I37" s="1182"/>
      <c r="J37" s="1447">
        <f>2768669+36420206+520000+236220+63780+80000</f>
        <v>40088875</v>
      </c>
      <c r="K37" s="725">
        <f>3149606+850394-2400000</f>
        <v>1600000</v>
      </c>
      <c r="L37" s="1180"/>
      <c r="M37" s="1180"/>
      <c r="N37" s="1180"/>
      <c r="O37" s="338">
        <f t="shared" ref="O37:O43" si="5">SUM(J37:N37)</f>
        <v>41688875</v>
      </c>
      <c r="P37" s="1091"/>
    </row>
    <row r="38" spans="1:16" x14ac:dyDescent="0.2">
      <c r="A38" s="1230" t="s">
        <v>745</v>
      </c>
      <c r="B38" s="1231" t="s">
        <v>1</v>
      </c>
      <c r="C38" s="1081"/>
      <c r="D38" s="1081">
        <v>5200000</v>
      </c>
      <c r="E38" s="1081"/>
      <c r="F38" s="1081"/>
      <c r="G38" s="1081"/>
      <c r="H38" s="1085">
        <f>SUM(C38:G38)</f>
        <v>5200000</v>
      </c>
      <c r="I38" s="346"/>
      <c r="J38" s="765">
        <v>45600000</v>
      </c>
      <c r="K38" s="1082">
        <v>5200000</v>
      </c>
      <c r="L38" s="1082"/>
      <c r="M38" s="1082"/>
      <c r="N38" s="1082"/>
      <c r="O38" s="1094">
        <f>SUM(J38:N38)</f>
        <v>50800000</v>
      </c>
      <c r="P38" s="1091"/>
    </row>
    <row r="39" spans="1:16" x14ac:dyDescent="0.2">
      <c r="A39" s="1230" t="s">
        <v>746</v>
      </c>
      <c r="B39" s="1231" t="s">
        <v>3</v>
      </c>
      <c r="C39" s="1081"/>
      <c r="D39" s="1082"/>
      <c r="E39" s="1082"/>
      <c r="F39" s="1082"/>
      <c r="G39" s="1082"/>
      <c r="H39" s="1085">
        <f t="shared" si="4"/>
        <v>0</v>
      </c>
      <c r="I39" s="344"/>
      <c r="J39" s="1084">
        <v>3600000</v>
      </c>
      <c r="K39" s="1082"/>
      <c r="L39" s="1082"/>
      <c r="M39" s="1082"/>
      <c r="N39" s="1082"/>
      <c r="O39" s="1094">
        <f t="shared" si="5"/>
        <v>3600000</v>
      </c>
      <c r="P39" s="1091"/>
    </row>
    <row r="40" spans="1:16" x14ac:dyDescent="0.2">
      <c r="A40" s="1230" t="s">
        <v>955</v>
      </c>
      <c r="B40" s="1231" t="s">
        <v>954</v>
      </c>
      <c r="C40" s="1081"/>
      <c r="D40" s="1082"/>
      <c r="E40" s="1082"/>
      <c r="F40" s="1082"/>
      <c r="G40" s="1082"/>
      <c r="H40" s="1085">
        <f>SUM(C40:G40)</f>
        <v>0</v>
      </c>
      <c r="I40" s="1083"/>
      <c r="J40" s="1084">
        <v>18000000</v>
      </c>
      <c r="K40" s="1082"/>
      <c r="L40" s="1082"/>
      <c r="M40" s="1082"/>
      <c r="N40" s="1082"/>
      <c r="O40" s="1094">
        <f>SUM(J40:N40)</f>
        <v>18000000</v>
      </c>
      <c r="P40" s="1091"/>
    </row>
    <row r="41" spans="1:16" ht="25.5" x14ac:dyDescent="0.2">
      <c r="A41" s="1230" t="s">
        <v>747</v>
      </c>
      <c r="B41" s="1231" t="s">
        <v>749</v>
      </c>
      <c r="C41" s="1081"/>
      <c r="D41" s="1082"/>
      <c r="E41" s="1082"/>
      <c r="F41" s="1082"/>
      <c r="G41" s="1082"/>
      <c r="H41" s="1085">
        <f t="shared" si="4"/>
        <v>0</v>
      </c>
      <c r="I41" s="1083"/>
      <c r="J41" s="1084"/>
      <c r="K41" s="1082"/>
      <c r="L41" s="1082"/>
      <c r="M41" s="1082"/>
      <c r="N41" s="1082"/>
      <c r="O41" s="1094">
        <f t="shared" si="5"/>
        <v>0</v>
      </c>
      <c r="P41" s="1091"/>
    </row>
    <row r="42" spans="1:16" x14ac:dyDescent="0.2">
      <c r="A42" s="1230" t="s">
        <v>1018</v>
      </c>
      <c r="B42" s="1231" t="s">
        <v>1019</v>
      </c>
      <c r="C42" s="1081"/>
      <c r="D42" s="1063"/>
      <c r="E42" s="1063"/>
      <c r="F42" s="1063"/>
      <c r="G42" s="1063"/>
      <c r="H42" s="1085">
        <f>SUM(C42:G42)</f>
        <v>0</v>
      </c>
      <c r="I42" s="1181"/>
      <c r="J42" s="1084">
        <f>4700000+1269000</f>
        <v>5969000</v>
      </c>
      <c r="K42" s="1082">
        <f>100000+27000</f>
        <v>127000</v>
      </c>
      <c r="L42" s="1063"/>
      <c r="M42" s="1063"/>
      <c r="N42" s="1063"/>
      <c r="O42" s="1094">
        <f>SUM(J42:N42)</f>
        <v>6096000</v>
      </c>
      <c r="P42" s="1091"/>
    </row>
    <row r="43" spans="1:16" ht="26.25" thickBot="1" x14ac:dyDescent="0.25">
      <c r="A43" s="1097" t="s">
        <v>748</v>
      </c>
      <c r="B43" s="1095" t="s">
        <v>750</v>
      </c>
      <c r="C43" s="729">
        <f>94488+25512</f>
        <v>120000</v>
      </c>
      <c r="D43" s="727"/>
      <c r="E43" s="727"/>
      <c r="F43" s="727"/>
      <c r="G43" s="727"/>
      <c r="H43" s="761">
        <f t="shared" si="4"/>
        <v>120000</v>
      </c>
      <c r="I43" s="744"/>
      <c r="J43" s="754">
        <v>325512</v>
      </c>
      <c r="K43" s="727">
        <v>94488</v>
      </c>
      <c r="L43" s="727"/>
      <c r="M43" s="727"/>
      <c r="N43" s="727"/>
      <c r="O43" s="1073">
        <f t="shared" si="5"/>
        <v>420000</v>
      </c>
      <c r="P43" s="1091"/>
    </row>
    <row r="44" spans="1:16" ht="14.25" thickBot="1" x14ac:dyDescent="0.3">
      <c r="A44" s="1571" t="s">
        <v>751</v>
      </c>
      <c r="B44" s="1572"/>
      <c r="C44" s="1567"/>
      <c r="D44" s="1567"/>
      <c r="E44" s="1567"/>
      <c r="F44" s="1567"/>
      <c r="G44" s="1567"/>
      <c r="H44" s="1567"/>
      <c r="I44" s="1567"/>
      <c r="J44" s="1567"/>
      <c r="K44" s="1567"/>
      <c r="L44" s="1567"/>
      <c r="M44" s="1567"/>
      <c r="N44" s="1567"/>
      <c r="O44" s="1568"/>
      <c r="P44" s="1091"/>
    </row>
    <row r="45" spans="1:16" x14ac:dyDescent="0.2">
      <c r="A45" s="752" t="s">
        <v>752</v>
      </c>
      <c r="B45" s="737" t="s">
        <v>649</v>
      </c>
      <c r="C45" s="748">
        <f>635000</f>
        <v>635000</v>
      </c>
      <c r="D45" s="746"/>
      <c r="E45" s="746"/>
      <c r="F45" s="746"/>
      <c r="G45" s="746"/>
      <c r="H45" s="1094">
        <f>SUM(C45:G45)</f>
        <v>635000</v>
      </c>
      <c r="I45" s="344"/>
      <c r="J45" s="749">
        <f>6601335+60674</f>
        <v>6662009</v>
      </c>
      <c r="K45" s="746"/>
      <c r="L45" s="746"/>
      <c r="M45" s="746"/>
      <c r="N45" s="746"/>
      <c r="O45" s="1094">
        <f>SUM(J45:N45)</f>
        <v>6662009</v>
      </c>
      <c r="P45" s="1091"/>
    </row>
    <row r="46" spans="1:16" s="488" customFormat="1" x14ac:dyDescent="0.2">
      <c r="A46" s="1096" t="s">
        <v>753</v>
      </c>
      <c r="B46" s="739" t="s">
        <v>436</v>
      </c>
      <c r="C46" s="1086">
        <f>400000</f>
        <v>400000</v>
      </c>
      <c r="D46" s="764"/>
      <c r="E46" s="764"/>
      <c r="F46" s="764"/>
      <c r="G46" s="764"/>
      <c r="H46" s="1085">
        <f>SUM(C46:G46)</f>
        <v>400000</v>
      </c>
      <c r="I46" s="587"/>
      <c r="J46" s="1089">
        <f>407200+34558462+1620969+347250+638940</f>
        <v>37572821</v>
      </c>
      <c r="K46" s="1087">
        <f>7901899-1023179</f>
        <v>6878720</v>
      </c>
      <c r="L46" s="1087"/>
      <c r="M46" s="1087"/>
      <c r="N46" s="1087"/>
      <c r="O46" s="1094">
        <f>SUM(J46:N46)</f>
        <v>44451541</v>
      </c>
    </row>
    <row r="47" spans="1:16" s="488" customFormat="1" ht="39" thickBot="1" x14ac:dyDescent="0.25">
      <c r="A47" s="1097" t="s">
        <v>754</v>
      </c>
      <c r="B47" s="1095" t="s">
        <v>755</v>
      </c>
      <c r="C47" s="1086">
        <v>62436432</v>
      </c>
      <c r="D47" s="1087">
        <v>10218088</v>
      </c>
      <c r="E47" s="764"/>
      <c r="F47" s="764"/>
      <c r="G47" s="764"/>
      <c r="H47" s="1088">
        <f>SUM(C47:G47)</f>
        <v>72654520</v>
      </c>
      <c r="I47" s="587"/>
      <c r="J47" s="1089">
        <f>9234401+65012000</f>
        <v>74246401</v>
      </c>
      <c r="K47" s="1087">
        <f>17650043+1000000+1524000</f>
        <v>20174043</v>
      </c>
      <c r="L47" s="1087"/>
      <c r="M47" s="1087"/>
      <c r="N47" s="1087"/>
      <c r="O47" s="1094">
        <f>SUM(J47:N47)</f>
        <v>94420444</v>
      </c>
    </row>
    <row r="48" spans="1:16" s="488" customFormat="1" ht="14.25" thickBot="1" x14ac:dyDescent="0.3">
      <c r="A48" s="1571" t="s">
        <v>1035</v>
      </c>
      <c r="B48" s="1572"/>
      <c r="C48" s="1567"/>
      <c r="D48" s="1567"/>
      <c r="E48" s="1567"/>
      <c r="F48" s="1567"/>
      <c r="G48" s="1567"/>
      <c r="H48" s="1567"/>
      <c r="I48" s="1567"/>
      <c r="J48" s="1567"/>
      <c r="K48" s="1567"/>
      <c r="L48" s="1567"/>
      <c r="M48" s="1567"/>
      <c r="N48" s="1567"/>
      <c r="O48" s="1568"/>
    </row>
    <row r="49" spans="1:16" s="488" customFormat="1" ht="13.5" thickBot="1" x14ac:dyDescent="0.25">
      <c r="A49" s="752" t="s">
        <v>1036</v>
      </c>
      <c r="B49" s="737" t="s">
        <v>1037</v>
      </c>
      <c r="C49" s="1448">
        <v>3105500</v>
      </c>
      <c r="D49" s="1449">
        <v>227089716</v>
      </c>
      <c r="E49" s="746"/>
      <c r="F49" s="746"/>
      <c r="G49" s="746"/>
      <c r="H49" s="1094">
        <f>SUM(C49:G49)</f>
        <v>230195216</v>
      </c>
      <c r="I49" s="344"/>
      <c r="J49" s="1365">
        <f>457200+2286000+375000</f>
        <v>3118200</v>
      </c>
      <c r="K49" s="1449">
        <f>7990000+2157300+170901800+46040616</f>
        <v>227089716</v>
      </c>
      <c r="L49" s="746"/>
      <c r="M49" s="746"/>
      <c r="N49" s="746"/>
      <c r="O49" s="1094">
        <f>SUM(J49:N49)</f>
        <v>230207916</v>
      </c>
    </row>
    <row r="50" spans="1:16" ht="14.25" thickBot="1" x14ac:dyDescent="0.3">
      <c r="A50" s="1571" t="s">
        <v>756</v>
      </c>
      <c r="B50" s="1572"/>
      <c r="C50" s="1567"/>
      <c r="D50" s="1567"/>
      <c r="E50" s="1567"/>
      <c r="F50" s="1567"/>
      <c r="G50" s="1567"/>
      <c r="H50" s="1567"/>
      <c r="I50" s="1567"/>
      <c r="J50" s="1567"/>
      <c r="K50" s="1567"/>
      <c r="L50" s="1567"/>
      <c r="M50" s="1567"/>
      <c r="N50" s="1567"/>
      <c r="O50" s="1568"/>
      <c r="P50" s="1091"/>
    </row>
    <row r="51" spans="1:16" x14ac:dyDescent="0.2">
      <c r="A51" s="752" t="s">
        <v>757</v>
      </c>
      <c r="B51" s="737" t="s">
        <v>559</v>
      </c>
      <c r="C51" s="748"/>
      <c r="D51" s="746"/>
      <c r="E51" s="746"/>
      <c r="F51" s="746"/>
      <c r="G51" s="746"/>
      <c r="H51" s="1094">
        <f t="shared" ref="H51:H56" si="6">SUM(C51:G51)</f>
        <v>0</v>
      </c>
      <c r="I51" s="344"/>
      <c r="J51" s="749">
        <v>300000</v>
      </c>
      <c r="K51" s="746"/>
      <c r="L51" s="746"/>
      <c r="M51" s="746"/>
      <c r="N51" s="746"/>
      <c r="O51" s="1094">
        <f t="shared" ref="O51:O56" si="7">SUM(J51:N51)</f>
        <v>300000</v>
      </c>
      <c r="P51" s="1091"/>
    </row>
    <row r="52" spans="1:16" x14ac:dyDescent="0.2">
      <c r="A52" s="1096" t="s">
        <v>758</v>
      </c>
      <c r="B52" s="739" t="s">
        <v>542</v>
      </c>
      <c r="C52" s="1086"/>
      <c r="D52" s="1087"/>
      <c r="E52" s="1087"/>
      <c r="F52" s="1087"/>
      <c r="G52" s="1087"/>
      <c r="H52" s="1085">
        <f t="shared" si="6"/>
        <v>0</v>
      </c>
      <c r="I52" s="344"/>
      <c r="J52" s="1089">
        <v>54468561</v>
      </c>
      <c r="K52" s="1087"/>
      <c r="L52" s="1087"/>
      <c r="M52" s="1087"/>
      <c r="N52" s="1087"/>
      <c r="O52" s="1094">
        <f t="shared" si="7"/>
        <v>54468561</v>
      </c>
      <c r="P52" s="1091"/>
    </row>
    <row r="53" spans="1:16" x14ac:dyDescent="0.2">
      <c r="A53" s="1096" t="s">
        <v>950</v>
      </c>
      <c r="B53" s="739" t="s">
        <v>951</v>
      </c>
      <c r="C53" s="1086"/>
      <c r="D53" s="1087"/>
      <c r="E53" s="1087"/>
      <c r="F53" s="1087"/>
      <c r="G53" s="1087"/>
      <c r="H53" s="1085">
        <f t="shared" si="6"/>
        <v>0</v>
      </c>
      <c r="I53" s="344"/>
      <c r="J53" s="588">
        <v>270951</v>
      </c>
      <c r="K53" s="1087">
        <v>403860</v>
      </c>
      <c r="L53" s="1087"/>
      <c r="M53" s="1087"/>
      <c r="N53" s="1087"/>
      <c r="O53" s="1094">
        <f t="shared" si="7"/>
        <v>674811</v>
      </c>
      <c r="P53" s="1091"/>
    </row>
    <row r="54" spans="1:16" ht="25.5" x14ac:dyDescent="0.2">
      <c r="A54" s="1096" t="s">
        <v>759</v>
      </c>
      <c r="B54" s="739" t="s">
        <v>760</v>
      </c>
      <c r="C54" s="1086">
        <f>300000+254000</f>
        <v>554000</v>
      </c>
      <c r="D54" s="1087"/>
      <c r="E54" s="1087"/>
      <c r="F54" s="1087"/>
      <c r="G54" s="1087"/>
      <c r="H54" s="1085">
        <f t="shared" si="6"/>
        <v>554000</v>
      </c>
      <c r="I54" s="344"/>
      <c r="J54" s="1089">
        <f>2417600+254000</f>
        <v>2671600</v>
      </c>
      <c r="K54" s="1087">
        <v>2540000</v>
      </c>
      <c r="L54" s="1087"/>
      <c r="M54" s="1087"/>
      <c r="N54" s="1087"/>
      <c r="O54" s="1094">
        <f t="shared" si="7"/>
        <v>5211600</v>
      </c>
      <c r="P54" s="1091"/>
    </row>
    <row r="55" spans="1:16" ht="26.25" thickBot="1" x14ac:dyDescent="0.25">
      <c r="A55" s="1097" t="s">
        <v>761</v>
      </c>
      <c r="B55" s="1095" t="s">
        <v>762</v>
      </c>
      <c r="C55" s="1086">
        <v>500000</v>
      </c>
      <c r="D55" s="1087"/>
      <c r="E55" s="1087"/>
      <c r="F55" s="1087"/>
      <c r="G55" s="1087"/>
      <c r="H55" s="1088">
        <f t="shared" si="6"/>
        <v>500000</v>
      </c>
      <c r="I55" s="344"/>
      <c r="J55" s="1089">
        <f>61300000+526000-526000</f>
        <v>61300000</v>
      </c>
      <c r="K55" s="1087"/>
      <c r="L55" s="1087"/>
      <c r="M55" s="1087"/>
      <c r="N55" s="1087"/>
      <c r="O55" s="1094">
        <f t="shared" si="7"/>
        <v>61300000</v>
      </c>
      <c r="P55" s="1091"/>
    </row>
    <row r="56" spans="1:16" ht="26.25" thickBot="1" x14ac:dyDescent="0.25">
      <c r="A56" s="1097" t="s">
        <v>952</v>
      </c>
      <c r="B56" s="1095" t="s">
        <v>953</v>
      </c>
      <c r="C56" s="1086"/>
      <c r="D56" s="1087"/>
      <c r="E56" s="1087"/>
      <c r="F56" s="1087"/>
      <c r="G56" s="1087"/>
      <c r="H56" s="1088">
        <f t="shared" si="6"/>
        <v>0</v>
      </c>
      <c r="I56" s="1074"/>
      <c r="J56" s="1089">
        <f>243100+691900</f>
        <v>935000</v>
      </c>
      <c r="K56" s="1087">
        <f>691900-691900</f>
        <v>0</v>
      </c>
      <c r="L56" s="1087"/>
      <c r="M56" s="1087"/>
      <c r="N56" s="1087"/>
      <c r="O56" s="1094">
        <f t="shared" si="7"/>
        <v>935000</v>
      </c>
      <c r="P56" s="1091"/>
    </row>
    <row r="57" spans="1:16" ht="14.25" thickBot="1" x14ac:dyDescent="0.3">
      <c r="A57" s="1571" t="s">
        <v>763</v>
      </c>
      <c r="B57" s="1572"/>
      <c r="C57" s="1567"/>
      <c r="D57" s="1567"/>
      <c r="E57" s="1567"/>
      <c r="F57" s="1567"/>
      <c r="G57" s="1567"/>
      <c r="H57" s="1567"/>
      <c r="I57" s="1567"/>
      <c r="J57" s="1567"/>
      <c r="K57" s="1567"/>
      <c r="L57" s="1567"/>
      <c r="M57" s="1567"/>
      <c r="N57" s="1567"/>
      <c r="O57" s="1568"/>
      <c r="P57" s="1091"/>
    </row>
    <row r="58" spans="1:16" ht="25.5" x14ac:dyDescent="0.2">
      <c r="A58" s="752" t="s">
        <v>764</v>
      </c>
      <c r="B58" s="737" t="s">
        <v>765</v>
      </c>
      <c r="C58" s="750"/>
      <c r="D58" s="746"/>
      <c r="E58" s="746">
        <f>530000000-35000000</f>
        <v>495000000</v>
      </c>
      <c r="F58" s="746"/>
      <c r="G58" s="746"/>
      <c r="H58" s="1094">
        <f>SUM(C58:G58)</f>
        <v>495000000</v>
      </c>
      <c r="I58" s="344"/>
      <c r="J58" s="749"/>
      <c r="K58" s="746"/>
      <c r="L58" s="751"/>
      <c r="M58" s="746"/>
      <c r="N58" s="746"/>
      <c r="O58" s="1094">
        <f>SUM(J58:N58)</f>
        <v>0</v>
      </c>
      <c r="P58" s="1091"/>
    </row>
    <row r="59" spans="1:16" ht="26.25" thickBot="1" x14ac:dyDescent="0.25">
      <c r="A59" s="1097" t="s">
        <v>766</v>
      </c>
      <c r="B59" s="1095" t="s">
        <v>767</v>
      </c>
      <c r="C59" s="347"/>
      <c r="D59" s="1087"/>
      <c r="E59" s="1087"/>
      <c r="F59" s="1087">
        <f>700000000+44951899-2540000+11503705-3834990-16510000</f>
        <v>733570614</v>
      </c>
      <c r="G59" s="1087"/>
      <c r="H59" s="1085">
        <f>SUM(C59:G59)</f>
        <v>733570614</v>
      </c>
      <c r="I59" s="344"/>
      <c r="J59" s="1089">
        <f>12952927+115837-33711-38350-24077-190500</f>
        <v>12782126</v>
      </c>
      <c r="K59" s="483"/>
      <c r="L59" s="1087"/>
      <c r="M59" s="1087">
        <v>726038434</v>
      </c>
      <c r="N59" s="483">
        <v>142139277</v>
      </c>
      <c r="O59" s="1085">
        <f>SUM(J59:N59)</f>
        <v>880959837</v>
      </c>
      <c r="P59" s="1091"/>
    </row>
    <row r="60" spans="1:16" ht="13.5" thickBot="1" x14ac:dyDescent="0.25">
      <c r="A60" s="1563" t="s">
        <v>54</v>
      </c>
      <c r="B60" s="1564"/>
      <c r="C60" s="349">
        <f t="shared" ref="C60:H60" si="8">SUM(C10:C59)</f>
        <v>1816434292</v>
      </c>
      <c r="D60" s="349">
        <f t="shared" si="8"/>
        <v>351549324</v>
      </c>
      <c r="E60" s="349">
        <f t="shared" si="8"/>
        <v>503000000</v>
      </c>
      <c r="F60" s="349">
        <f t="shared" si="8"/>
        <v>733570614</v>
      </c>
      <c r="G60" s="349">
        <f t="shared" si="8"/>
        <v>938305086</v>
      </c>
      <c r="H60" s="762">
        <f t="shared" si="8"/>
        <v>4342859316</v>
      </c>
      <c r="I60" s="348" t="e">
        <f>SUM(I9:I13,I15:I28,I35:I37,I41:I52,I53:I59)</f>
        <v>#REF!</v>
      </c>
      <c r="J60" s="349">
        <f t="shared" ref="J60:O60" si="9">SUM(J10:J59)</f>
        <v>780705349</v>
      </c>
      <c r="K60" s="349">
        <f t="shared" si="9"/>
        <v>1180953767</v>
      </c>
      <c r="L60" s="349">
        <f t="shared" si="9"/>
        <v>1513022489</v>
      </c>
      <c r="M60" s="349">
        <f t="shared" si="9"/>
        <v>726038434</v>
      </c>
      <c r="N60" s="349">
        <f t="shared" si="9"/>
        <v>142139277</v>
      </c>
      <c r="O60" s="349">
        <f t="shared" si="9"/>
        <v>4342859316</v>
      </c>
      <c r="P60" s="489">
        <f>O60-H60</f>
        <v>0</v>
      </c>
    </row>
    <row r="61" spans="1:16" ht="13.5" thickBot="1" x14ac:dyDescent="0.25">
      <c r="A61" s="1582" t="s">
        <v>437</v>
      </c>
      <c r="B61" s="1583"/>
      <c r="C61" s="350"/>
      <c r="D61" s="351"/>
      <c r="E61" s="351"/>
      <c r="F61" s="351"/>
      <c r="G61" s="351"/>
      <c r="H61" s="1085"/>
      <c r="I61" s="341"/>
      <c r="J61" s="352"/>
      <c r="K61" s="1082"/>
      <c r="L61" s="1082">
        <f>SUM(L58:L59,L51:L55,L45:L47,L37:L43,L33:L35,L27:L29,L17,L10:L15)</f>
        <v>1513022489</v>
      </c>
      <c r="M61" s="351"/>
      <c r="N61" s="351"/>
      <c r="O61" s="340">
        <f>SUM(J61:N61)</f>
        <v>1513022489</v>
      </c>
      <c r="P61" s="489"/>
    </row>
    <row r="62" spans="1:16" ht="13.5" thickBot="1" x14ac:dyDescent="0.25">
      <c r="A62" s="1563" t="s">
        <v>66</v>
      </c>
      <c r="B62" s="1564"/>
      <c r="C62" s="353">
        <f>C60-C61</f>
        <v>1816434292</v>
      </c>
      <c r="D62" s="354">
        <f t="shared" ref="D62:N62" si="10">D60-D61</f>
        <v>351549324</v>
      </c>
      <c r="E62" s="354">
        <f t="shared" si="10"/>
        <v>503000000</v>
      </c>
      <c r="F62" s="354">
        <f t="shared" si="10"/>
        <v>733570614</v>
      </c>
      <c r="G62" s="354">
        <f t="shared" si="10"/>
        <v>938305086</v>
      </c>
      <c r="H62" s="763">
        <f t="shared" si="10"/>
        <v>4342859316</v>
      </c>
      <c r="I62" s="355" t="e">
        <f t="shared" si="10"/>
        <v>#REF!</v>
      </c>
      <c r="J62" s="353">
        <f t="shared" si="10"/>
        <v>780705349</v>
      </c>
      <c r="K62" s="354">
        <f t="shared" si="10"/>
        <v>1180953767</v>
      </c>
      <c r="L62" s="354">
        <f t="shared" si="10"/>
        <v>0</v>
      </c>
      <c r="M62" s="354">
        <f t="shared" si="10"/>
        <v>726038434</v>
      </c>
      <c r="N62" s="354">
        <f t="shared" si="10"/>
        <v>142139277</v>
      </c>
      <c r="O62" s="356">
        <f>O60-O61</f>
        <v>2829836827</v>
      </c>
      <c r="P62" s="489"/>
    </row>
    <row r="63" spans="1:16" x14ac:dyDescent="0.2">
      <c r="B63" s="357"/>
      <c r="C63" s="1090">
        <f>C62-C64</f>
        <v>0</v>
      </c>
      <c r="D63" s="1090">
        <f t="shared" ref="D63:N63" si="11">D62-D64</f>
        <v>0</v>
      </c>
      <c r="E63" s="1090">
        <f t="shared" si="11"/>
        <v>0</v>
      </c>
      <c r="F63" s="1090">
        <f t="shared" si="11"/>
        <v>0</v>
      </c>
      <c r="G63" s="1090">
        <f t="shared" si="11"/>
        <v>0</v>
      </c>
      <c r="H63" s="1090">
        <f t="shared" si="11"/>
        <v>0</v>
      </c>
      <c r="I63" s="1090" t="e">
        <f t="shared" si="11"/>
        <v>#REF!</v>
      </c>
      <c r="J63" s="1090">
        <f t="shared" si="11"/>
        <v>0</v>
      </c>
      <c r="K63" s="1090">
        <f t="shared" si="11"/>
        <v>0</v>
      </c>
      <c r="L63" s="1090">
        <f>L61-L64</f>
        <v>0</v>
      </c>
      <c r="M63" s="1090">
        <f t="shared" si="11"/>
        <v>0</v>
      </c>
      <c r="N63" s="1090">
        <f t="shared" si="11"/>
        <v>0</v>
      </c>
      <c r="O63" s="1090">
        <f>O60-O64</f>
        <v>0</v>
      </c>
    </row>
    <row r="64" spans="1:16" x14ac:dyDescent="0.2">
      <c r="B64" s="357"/>
      <c r="C64" s="1090">
        <f>'9.1. sz. mell.'!C9+'9.1. sz. mell.'!C18+'9.1. sz. mell.'!C40+'9.1. sz. mell.'!C58+'9.1. sz. mell.'!C81</f>
        <v>1816434292</v>
      </c>
      <c r="D64" s="1090">
        <f>'9.1. sz. mell.'!C25+'9.1. sz. mell.'!C52+'9.1. sz. mell.'!C63</f>
        <v>351549324</v>
      </c>
      <c r="E64" s="1090">
        <f>'9.1. sz. mell.'!C32</f>
        <v>503000000</v>
      </c>
      <c r="F64" s="1090">
        <f>'9.1. sz. mell.'!C69</f>
        <v>733570614</v>
      </c>
      <c r="G64" s="1090">
        <f>'9.1. sz. mell.'!C78</f>
        <v>938305086</v>
      </c>
      <c r="H64" s="766">
        <f>SUM(C64:G64)</f>
        <v>4342859316</v>
      </c>
      <c r="I64" s="358"/>
      <c r="J64" s="1090">
        <f>'9.1. sz. mell.'!C96-'9.1. sz. mell.'!C114+'9.1. sz. mell.'!C143</f>
        <v>780705349</v>
      </c>
      <c r="K64" s="1090">
        <f>'9.1. sz. mell.'!C117</f>
        <v>1180953767</v>
      </c>
      <c r="L64" s="360">
        <f>'10.sz.m. int.összesítő'!C16</f>
        <v>1513022489</v>
      </c>
      <c r="M64" s="359">
        <f>'9.1. sz. mell.'!C132</f>
        <v>726038434</v>
      </c>
      <c r="N64" s="359">
        <f>'9.1. sz. mell.'!C114</f>
        <v>142139277</v>
      </c>
      <c r="O64" s="358">
        <f>SUM(J64:N64)</f>
        <v>4342859316</v>
      </c>
    </row>
    <row r="65" spans="2:15" x14ac:dyDescent="0.2">
      <c r="B65" s="357"/>
      <c r="C65" s="1090"/>
      <c r="D65" s="1090"/>
      <c r="E65" s="1090"/>
      <c r="F65" s="1090"/>
      <c r="G65" s="1090"/>
      <c r="H65" s="766"/>
      <c r="I65" s="358"/>
      <c r="J65" s="362"/>
      <c r="K65" s="1090"/>
      <c r="L65" s="361"/>
      <c r="M65" s="1090"/>
      <c r="N65" s="1090"/>
      <c r="O65" s="358"/>
    </row>
    <row r="66" spans="2:15" x14ac:dyDescent="0.2">
      <c r="B66" s="357"/>
      <c r="C66" s="1090"/>
      <c r="D66" s="1090"/>
      <c r="E66" s="1090"/>
      <c r="F66" s="1090"/>
      <c r="G66" s="1090"/>
      <c r="H66" s="766"/>
      <c r="I66" s="358"/>
      <c r="J66" s="1090"/>
      <c r="K66" s="1090"/>
      <c r="L66" s="361"/>
      <c r="M66" s="1090"/>
      <c r="N66" s="1090"/>
      <c r="O66" s="358"/>
    </row>
    <row r="67" spans="2:15" x14ac:dyDescent="0.2">
      <c r="B67" s="357"/>
      <c r="C67" s="1090"/>
      <c r="D67" s="1090"/>
      <c r="E67" s="1090"/>
      <c r="F67" s="1090"/>
      <c r="G67" s="1090"/>
      <c r="H67" s="766"/>
      <c r="I67" s="358"/>
      <c r="J67" s="1090"/>
      <c r="K67" s="1090"/>
      <c r="L67" s="361"/>
      <c r="M67" s="1090"/>
      <c r="N67" s="1090"/>
      <c r="O67" s="358"/>
    </row>
    <row r="68" spans="2:15" x14ac:dyDescent="0.2">
      <c r="B68" s="357"/>
      <c r="C68" s="1090"/>
      <c r="D68" s="1090"/>
      <c r="E68" s="1090"/>
      <c r="F68" s="1090"/>
      <c r="G68" s="1090"/>
      <c r="H68" s="766"/>
      <c r="I68" s="358"/>
      <c r="J68" s="1090"/>
      <c r="K68" s="1090"/>
      <c r="L68" s="361"/>
      <c r="M68" s="1090"/>
      <c r="N68" s="1090"/>
      <c r="O68" s="358"/>
    </row>
    <row r="69" spans="2:15" x14ac:dyDescent="0.2">
      <c r="B69" s="357"/>
      <c r="C69" s="1090"/>
      <c r="D69" s="1090"/>
      <c r="E69" s="1090"/>
      <c r="F69" s="1090"/>
      <c r="G69" s="1090"/>
      <c r="H69" s="766"/>
      <c r="I69" s="358"/>
      <c r="J69" s="1090"/>
      <c r="K69" s="1090"/>
      <c r="L69" s="361"/>
      <c r="M69" s="1090"/>
      <c r="N69" s="1090"/>
      <c r="O69" s="358"/>
    </row>
  </sheetData>
  <mergeCells count="21">
    <mergeCell ref="A1:O1"/>
    <mergeCell ref="K2:O2"/>
    <mergeCell ref="A3:O3"/>
    <mergeCell ref="A4:O4"/>
    <mergeCell ref="A6:A8"/>
    <mergeCell ref="B6:B8"/>
    <mergeCell ref="C6:H6"/>
    <mergeCell ref="J6:O6"/>
    <mergeCell ref="A62:B62"/>
    <mergeCell ref="A9:O9"/>
    <mergeCell ref="A16:O16"/>
    <mergeCell ref="A18:O18"/>
    <mergeCell ref="A26:O26"/>
    <mergeCell ref="A31:O31"/>
    <mergeCell ref="A36:O36"/>
    <mergeCell ref="A44:O44"/>
    <mergeCell ref="A50:O50"/>
    <mergeCell ref="A57:O57"/>
    <mergeCell ref="A60:B60"/>
    <mergeCell ref="A61:B61"/>
    <mergeCell ref="A48:O48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Munka53"/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76" customWidth="1"/>
    <col min="2" max="2" width="66.33203125" style="1076" bestFit="1" customWidth="1"/>
    <col min="3" max="3" width="15.5" style="1077" hidden="1" customWidth="1"/>
    <col min="4" max="6" width="15.5" style="1076" customWidth="1"/>
    <col min="7" max="16384" width="9.33203125" style="1078"/>
  </cols>
  <sheetData>
    <row r="1" spans="1:6" x14ac:dyDescent="0.25">
      <c r="A1" s="1460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60"/>
      <c r="C1" s="1460"/>
      <c r="D1" s="1460"/>
      <c r="E1" s="1460"/>
      <c r="F1" s="1460"/>
    </row>
    <row r="3" spans="1:6" ht="35.25" customHeight="1" x14ac:dyDescent="0.25">
      <c r="A3" s="1597" t="s">
        <v>829</v>
      </c>
      <c r="B3" s="1597"/>
      <c r="C3" s="1597"/>
      <c r="D3" s="1597"/>
      <c r="E3" s="1597"/>
      <c r="F3" s="1597"/>
    </row>
    <row r="5" spans="1:6" ht="15.95" customHeight="1" x14ac:dyDescent="0.25">
      <c r="A5" s="1457" t="s">
        <v>18</v>
      </c>
      <c r="B5" s="1457"/>
      <c r="C5" s="1457"/>
      <c r="D5" s="1457"/>
      <c r="E5" s="1457"/>
      <c r="F5" s="1078"/>
    </row>
    <row r="6" spans="1:6" ht="15.95" customHeight="1" thickBot="1" x14ac:dyDescent="0.3">
      <c r="A6" s="1456" t="s">
        <v>128</v>
      </c>
      <c r="B6" s="1456"/>
      <c r="D6" s="1232"/>
      <c r="E6" s="126"/>
      <c r="F6" s="126" t="s">
        <v>563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637</v>
      </c>
      <c r="D7" s="553" t="s">
        <v>638</v>
      </c>
      <c r="E7" s="553" t="s">
        <v>656</v>
      </c>
      <c r="F7" s="553" t="s">
        <v>830</v>
      </c>
    </row>
    <row r="8" spans="1:6" s="191" customFormat="1" ht="12" customHeight="1" thickBot="1" x14ac:dyDescent="0.25">
      <c r="A8" s="25" t="s">
        <v>446</v>
      </c>
      <c r="B8" s="306" t="s">
        <v>447</v>
      </c>
      <c r="C8" s="554" t="s">
        <v>448</v>
      </c>
      <c r="D8" s="186" t="s">
        <v>448</v>
      </c>
      <c r="E8" s="565" t="s">
        <v>498</v>
      </c>
      <c r="F8" s="565" t="s">
        <v>499</v>
      </c>
    </row>
    <row r="9" spans="1:6" s="192" customFormat="1" ht="12" customHeight="1" thickBot="1" x14ac:dyDescent="0.25">
      <c r="A9" s="17" t="s">
        <v>21</v>
      </c>
      <c r="B9" s="454" t="s">
        <v>639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323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330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138</v>
      </c>
      <c r="B12" s="454" t="s">
        <v>782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210</v>
      </c>
      <c r="B13" s="296" t="s">
        <v>781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213</v>
      </c>
      <c r="B14" s="297" t="s">
        <v>216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214</v>
      </c>
      <c r="B15" s="672" t="s">
        <v>650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215</v>
      </c>
      <c r="B16" s="297" t="s">
        <v>537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539</v>
      </c>
      <c r="B17" s="297" t="s">
        <v>217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549</v>
      </c>
      <c r="B18" s="297" t="s">
        <v>218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550</v>
      </c>
      <c r="B19" s="298" t="s">
        <v>219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640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145</v>
      </c>
      <c r="B22" s="454" t="s">
        <v>641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642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252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8"/>
      <c r="I24" s="768"/>
      <c r="J24" s="768"/>
      <c r="K24" s="768"/>
    </row>
    <row r="25" spans="1:11" s="192" customFormat="1" ht="12" customHeight="1" thickBot="1" x14ac:dyDescent="0.25">
      <c r="A25" s="17" t="s">
        <v>30</v>
      </c>
      <c r="B25" s="454" t="s">
        <v>643</v>
      </c>
      <c r="C25" s="1092">
        <v>400000000</v>
      </c>
      <c r="D25" s="1092">
        <v>1500000000</v>
      </c>
      <c r="E25" s="1092">
        <v>1500000000</v>
      </c>
      <c r="F25" s="1092">
        <v>1500000000</v>
      </c>
      <c r="H25" s="768"/>
      <c r="I25" s="768"/>
      <c r="J25" s="768"/>
      <c r="K25" s="768"/>
    </row>
    <row r="26" spans="1:11" s="192" customFormat="1" ht="12" customHeight="1" thickBot="1" x14ac:dyDescent="0.25">
      <c r="A26" s="17" t="s">
        <v>31</v>
      </c>
      <c r="B26" s="454" t="s">
        <v>644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8"/>
      <c r="I26" s="768"/>
      <c r="J26" s="768"/>
      <c r="K26" s="768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8"/>
      <c r="I27" s="768"/>
      <c r="J27" s="769"/>
      <c r="K27" s="768"/>
    </row>
    <row r="28" spans="1:11" s="192" customFormat="1" ht="12" customHeight="1" x14ac:dyDescent="0.2">
      <c r="A28" s="1457" t="s">
        <v>49</v>
      </c>
      <c r="B28" s="1457"/>
      <c r="C28" s="1457"/>
      <c r="D28" s="1457"/>
      <c r="E28" s="1457"/>
      <c r="H28" s="768"/>
      <c r="I28" s="768"/>
      <c r="J28" s="768"/>
      <c r="K28" s="768"/>
    </row>
    <row r="29" spans="1:11" s="192" customFormat="1" ht="12" customHeight="1" thickBot="1" x14ac:dyDescent="0.25">
      <c r="A29" s="1458" t="s">
        <v>129</v>
      </c>
      <c r="B29" s="1458"/>
      <c r="C29" s="1077"/>
      <c r="D29" s="1232"/>
      <c r="E29" s="126"/>
      <c r="F29" s="126" t="str">
        <f>F6</f>
        <v>Forintban!</v>
      </c>
      <c r="H29" s="768"/>
      <c r="I29" s="768"/>
      <c r="J29" s="768"/>
      <c r="K29" s="768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8"/>
      <c r="I30" s="768"/>
      <c r="J30" s="768"/>
      <c r="K30" s="768"/>
    </row>
    <row r="31" spans="1:11" s="192" customFormat="1" ht="12" customHeight="1" thickBot="1" x14ac:dyDescent="0.25">
      <c r="A31" s="185" t="s">
        <v>446</v>
      </c>
      <c r="B31" s="186" t="s">
        <v>447</v>
      </c>
      <c r="C31" s="186" t="s">
        <v>448</v>
      </c>
      <c r="D31" s="186" t="s">
        <v>448</v>
      </c>
      <c r="E31" s="565" t="s">
        <v>498</v>
      </c>
      <c r="F31" s="565" t="s">
        <v>499</v>
      </c>
    </row>
    <row r="32" spans="1:11" s="192" customFormat="1" ht="15" customHeight="1" thickBot="1" x14ac:dyDescent="0.25">
      <c r="A32" s="17" t="s">
        <v>21</v>
      </c>
      <c r="B32" s="22" t="s">
        <v>645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646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105</v>
      </c>
      <c r="B34" s="5" t="s">
        <v>172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106</v>
      </c>
      <c r="B35" s="9" t="s">
        <v>152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107</v>
      </c>
      <c r="B36" s="114" t="s">
        <v>174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470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647</v>
      </c>
      <c r="C38" s="1093">
        <v>155000000</v>
      </c>
      <c r="D38" s="1093">
        <v>700000000</v>
      </c>
      <c r="E38" s="1093">
        <v>700000000</v>
      </c>
      <c r="F38" s="1093">
        <v>700000000</v>
      </c>
    </row>
    <row r="39" spans="1:7" s="192" customFormat="1" ht="12.95" customHeight="1" thickBot="1" x14ac:dyDescent="0.25">
      <c r="A39" s="115" t="s">
        <v>25</v>
      </c>
      <c r="B39" s="178" t="s">
        <v>648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76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76"/>
    </row>
    <row r="42" spans="1:7" x14ac:dyDescent="0.25">
      <c r="C42" s="1076"/>
    </row>
    <row r="43" spans="1:7" ht="16.5" customHeight="1" x14ac:dyDescent="0.25">
      <c r="C43" s="1076"/>
    </row>
    <row r="44" spans="1:7" x14ac:dyDescent="0.25">
      <c r="C44" s="1076"/>
    </row>
    <row r="45" spans="1:7" x14ac:dyDescent="0.25">
      <c r="C45" s="1076"/>
    </row>
    <row r="46" spans="1:7" s="1076" customFormat="1" x14ac:dyDescent="0.25">
      <c r="G46" s="1078"/>
    </row>
    <row r="47" spans="1:7" s="1076" customFormat="1" x14ac:dyDescent="0.25">
      <c r="G47" s="1078"/>
    </row>
    <row r="48" spans="1:7" s="1076" customFormat="1" x14ac:dyDescent="0.25">
      <c r="G48" s="1078"/>
    </row>
    <row r="49" spans="7:7" s="1076" customFormat="1" x14ac:dyDescent="0.25">
      <c r="G49" s="1078"/>
    </row>
    <row r="50" spans="7:7" s="1076" customFormat="1" x14ac:dyDescent="0.25">
      <c r="G50" s="1078"/>
    </row>
    <row r="51" spans="7:7" s="1076" customFormat="1" x14ac:dyDescent="0.25">
      <c r="G51" s="1078"/>
    </row>
    <row r="52" spans="7:7" s="1076" customFormat="1" x14ac:dyDescent="0.25">
      <c r="G52" s="1078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Munka54"/>
  <dimension ref="A1:G31"/>
  <sheetViews>
    <sheetView topLeftCell="D1" zoomScaleSheetLayoutView="100" workbookViewId="0">
      <selection activeCell="H26" sqref="H26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598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98"/>
      <c r="F1" s="314"/>
      <c r="G1" s="314"/>
    </row>
    <row r="2" spans="4:7" x14ac:dyDescent="0.2">
      <c r="D2" s="314"/>
      <c r="E2" s="1599"/>
      <c r="F2" s="1599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600" t="s">
        <v>674</v>
      </c>
      <c r="E4" s="1600"/>
      <c r="F4" s="315"/>
      <c r="G4" s="315"/>
    </row>
    <row r="5" spans="4:7" ht="19.5" x14ac:dyDescent="0.35">
      <c r="D5" s="1600"/>
      <c r="E5" s="1600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601" t="s">
        <v>2</v>
      </c>
      <c r="E9" s="1604" t="s">
        <v>840</v>
      </c>
    </row>
    <row r="10" spans="4:7" x14ac:dyDescent="0.2">
      <c r="D10" s="1602"/>
      <c r="E10" s="1605"/>
    </row>
    <row r="11" spans="4:7" ht="13.5" thickBot="1" x14ac:dyDescent="0.25">
      <c r="D11" s="1603"/>
      <c r="E11" s="1606"/>
    </row>
    <row r="12" spans="4:7" x14ac:dyDescent="0.2">
      <c r="D12" s="801" t="s">
        <v>837</v>
      </c>
      <c r="E12" s="1048">
        <v>20.5</v>
      </c>
    </row>
    <row r="13" spans="4:7" x14ac:dyDescent="0.2">
      <c r="D13" s="695" t="s">
        <v>838</v>
      </c>
      <c r="E13" s="1049">
        <v>2</v>
      </c>
    </row>
    <row r="14" spans="4:7" x14ac:dyDescent="0.2">
      <c r="D14" s="694" t="s">
        <v>839</v>
      </c>
      <c r="E14" s="1048">
        <v>22.5</v>
      </c>
    </row>
    <row r="15" spans="4:7" s="316" customFormat="1" x14ac:dyDescent="0.2">
      <c r="D15" s="695" t="s">
        <v>669</v>
      </c>
      <c r="E15" s="1049">
        <v>55</v>
      </c>
    </row>
    <row r="16" spans="4:7" s="316" customFormat="1" x14ac:dyDescent="0.2">
      <c r="D16" s="811" t="s">
        <v>842</v>
      </c>
      <c r="E16" s="1049">
        <v>18.75</v>
      </c>
    </row>
    <row r="17" spans="4:5" s="316" customFormat="1" x14ac:dyDescent="0.2">
      <c r="D17" s="802" t="s">
        <v>843</v>
      </c>
      <c r="E17" s="1050">
        <v>1</v>
      </c>
    </row>
    <row r="18" spans="4:5" s="316" customFormat="1" x14ac:dyDescent="0.2">
      <c r="D18" s="695" t="s">
        <v>670</v>
      </c>
      <c r="E18" s="1051">
        <v>21</v>
      </c>
    </row>
    <row r="19" spans="4:5" s="316" customFormat="1" x14ac:dyDescent="0.2">
      <c r="D19" s="695" t="s">
        <v>834</v>
      </c>
      <c r="E19" s="1049">
        <v>1</v>
      </c>
    </row>
    <row r="20" spans="4:5" s="316" customFormat="1" x14ac:dyDescent="0.2">
      <c r="D20" s="695" t="s">
        <v>671</v>
      </c>
      <c r="E20" s="1051">
        <v>150</v>
      </c>
    </row>
    <row r="21" spans="4:5" s="316" customFormat="1" x14ac:dyDescent="0.2">
      <c r="D21" s="695" t="s">
        <v>845</v>
      </c>
      <c r="E21" s="1051">
        <v>4</v>
      </c>
    </row>
    <row r="22" spans="4:5" s="316" customFormat="1" x14ac:dyDescent="0.2">
      <c r="D22" s="812" t="s">
        <v>846</v>
      </c>
      <c r="E22" s="1051">
        <v>55</v>
      </c>
    </row>
    <row r="23" spans="4:5" s="316" customFormat="1" x14ac:dyDescent="0.2">
      <c r="D23" s="812" t="s">
        <v>847</v>
      </c>
      <c r="E23" s="1051">
        <v>1.5</v>
      </c>
    </row>
    <row r="24" spans="4:5" s="813" customFormat="1" x14ac:dyDescent="0.2">
      <c r="D24" s="814" t="s">
        <v>848</v>
      </c>
      <c r="E24" s="1052">
        <v>8</v>
      </c>
    </row>
    <row r="25" spans="4:5" ht="13.5" thickBot="1" x14ac:dyDescent="0.25">
      <c r="D25" s="696" t="s">
        <v>548</v>
      </c>
      <c r="E25" s="1053">
        <v>48.375</v>
      </c>
    </row>
    <row r="26" spans="4:5" ht="13.5" thickBot="1" x14ac:dyDescent="0.25">
      <c r="D26" s="803" t="s">
        <v>672</v>
      </c>
      <c r="E26" s="1054">
        <f>E12+E13+E15+E16+E17+E18+E19+E20+E21+E22+E23+E24+E25</f>
        <v>386.125</v>
      </c>
    </row>
    <row r="27" spans="4:5" ht="13.5" thickBot="1" x14ac:dyDescent="0.25">
      <c r="D27" s="804" t="s">
        <v>673</v>
      </c>
      <c r="E27" s="1054">
        <f>E12+E15+E18+E20+E25+E16</f>
        <v>313.625</v>
      </c>
    </row>
    <row r="28" spans="4:5" x14ac:dyDescent="0.2">
      <c r="D28" s="805" t="s">
        <v>169</v>
      </c>
      <c r="E28" s="1055">
        <v>5</v>
      </c>
    </row>
    <row r="29" spans="4:5" x14ac:dyDescent="0.2">
      <c r="D29" s="806" t="s">
        <v>831</v>
      </c>
      <c r="E29" s="1056"/>
    </row>
    <row r="30" spans="4:5" ht="13.5" thickBot="1" x14ac:dyDescent="0.25">
      <c r="D30" s="806" t="s">
        <v>832</v>
      </c>
      <c r="E30" s="1057">
        <v>3</v>
      </c>
    </row>
    <row r="31" spans="4:5" ht="13.5" thickBot="1" x14ac:dyDescent="0.25">
      <c r="D31" s="697" t="s">
        <v>833</v>
      </c>
      <c r="E31" s="1058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7"/>
  <sheetViews>
    <sheetView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0" t="str">
        <f>CONCATENATE("4. melléklet"," ",ALAPADATOK!A7," ",ALAPADATOK!B7," ",ALAPADATOK!C7," ",ALAPADATOK!D7," ",ALAPADATOK!E7," ",ALAPADATOK!F7," ",ALAPADATOK!G7," ",ALAPADATOK!H7)</f>
        <v>4. melléklet a  / 2020. (  ) önkormányzati rendelethez</v>
      </c>
      <c r="B1" s="1460"/>
      <c r="C1" s="1460"/>
    </row>
    <row r="2" spans="1:3" s="1078" customFormat="1" x14ac:dyDescent="0.25">
      <c r="A2" s="904"/>
      <c r="B2" s="904"/>
      <c r="C2" s="904"/>
    </row>
    <row r="3" spans="1:3" s="849" customFormat="1" x14ac:dyDescent="0.25">
      <c r="A3" s="1453" t="str">
        <f>CONCATENATE(ALAPADATOK!A3)</f>
        <v>Tiszavasvári Város Önkormányzat</v>
      </c>
      <c r="B3" s="1453"/>
      <c r="C3" s="1453"/>
    </row>
    <row r="4" spans="1:3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3" s="849" customFormat="1" x14ac:dyDescent="0.25">
      <c r="A5" s="1454" t="s">
        <v>893</v>
      </c>
      <c r="B5" s="1454"/>
      <c r="C5" s="1454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7" t="s">
        <v>18</v>
      </c>
      <c r="B7" s="1457"/>
      <c r="C7" s="1457"/>
    </row>
    <row r="8" spans="1:3" ht="15.95" customHeight="1" thickBot="1" x14ac:dyDescent="0.3">
      <c r="A8" s="1456" t="s">
        <v>128</v>
      </c>
      <c r="B8" s="1456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786</v>
      </c>
    </row>
    <row r="10" spans="1:3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+C12+C13+C16+C17+C18+C19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998</v>
      </c>
      <c r="C14" s="118"/>
    </row>
    <row r="15" spans="1:3" s="192" customFormat="1" ht="12" customHeight="1" x14ac:dyDescent="0.2">
      <c r="A15" s="11" t="s">
        <v>996</v>
      </c>
      <c r="B15" s="194" t="s">
        <v>999</v>
      </c>
      <c r="C15" s="118"/>
    </row>
    <row r="16" spans="1:3" s="192" customFormat="1" ht="12" customHeight="1" x14ac:dyDescent="0.2">
      <c r="A16" s="11" t="s">
        <v>997</v>
      </c>
      <c r="B16" s="194" t="s">
        <v>1000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655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651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650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1270959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v>1000755</v>
      </c>
    </row>
    <row r="45" spans="1:3" s="192" customFormat="1" ht="12" customHeight="1" x14ac:dyDescent="0.2">
      <c r="A45" s="11" t="s">
        <v>94</v>
      </c>
      <c r="B45" s="194" t="s">
        <v>224</v>
      </c>
      <c r="C45" s="121"/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v>270204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/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/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57" t="s">
        <v>49</v>
      </c>
      <c r="B97" s="1457"/>
      <c r="C97" s="1457"/>
    </row>
    <row r="98" spans="1:3" s="202" customFormat="1" ht="16.5" customHeight="1" thickBot="1" x14ac:dyDescent="0.3">
      <c r="A98" s="1458" t="s">
        <v>129</v>
      </c>
      <c r="B98" s="1458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845791</v>
      </c>
    </row>
    <row r="102" spans="1:3" ht="12" customHeight="1" x14ac:dyDescent="0.25">
      <c r="A102" s="14" t="s">
        <v>99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100</v>
      </c>
      <c r="B103" s="5" t="s">
        <v>148</v>
      </c>
      <c r="C103" s="121">
        <f>58324+2704</f>
        <v>61028</v>
      </c>
    </row>
    <row r="104" spans="1:3" ht="12" customHeight="1" x14ac:dyDescent="0.25">
      <c r="A104" s="11" t="s">
        <v>101</v>
      </c>
      <c r="B104" s="5" t="s">
        <v>124</v>
      </c>
      <c r="C104" s="182">
        <v>436032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0</v>
      </c>
    </row>
    <row r="123" spans="1:3" ht="12" customHeight="1" x14ac:dyDescent="0.25">
      <c r="A123" s="12" t="s">
        <v>105</v>
      </c>
      <c r="B123" s="5" t="s">
        <v>172</v>
      </c>
      <c r="C123" s="231"/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845791</v>
      </c>
    </row>
    <row r="163" spans="1:6" ht="7.5" customHeight="1" x14ac:dyDescent="0.25"/>
    <row r="164" spans="1:6" x14ac:dyDescent="0.25">
      <c r="A164" s="1454" t="s">
        <v>321</v>
      </c>
      <c r="B164" s="1454"/>
      <c r="C164" s="1454"/>
    </row>
    <row r="165" spans="1:6" ht="15" customHeight="1" thickBot="1" x14ac:dyDescent="0.3">
      <c r="A165" s="1456" t="s">
        <v>130</v>
      </c>
      <c r="B165" s="1456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496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3"/>
  <sheetViews>
    <sheetView topLeftCell="A13" zoomScaleSheetLayoutView="100" workbookViewId="0">
      <selection activeCell="B33" sqref="B33:D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65" t="s">
        <v>133</v>
      </c>
      <c r="B1" s="1465"/>
      <c r="C1" s="1465"/>
      <c r="D1" s="1465"/>
      <c r="E1" s="1465"/>
      <c r="F1" s="1461" t="str">
        <f>CONCATENATE("4. melléklet ",ALAPADATOK!A7," ",ALAPADATOK!B7," ",ALAPADATOK!C7," ",ALAPADATOK!D7," ",ALAPADATOK!E7," ",ALAPADATOK!F7," ",ALAPADATOK!G7," ",ALAPADATOK!H7)</f>
        <v>4. melléklet a  / 2020. (  ) önkormányzati rendelethez</v>
      </c>
    </row>
    <row r="2" spans="1:6" ht="18" customHeight="1" thickBot="1" x14ac:dyDescent="0.25">
      <c r="A2" s="1462" t="s">
        <v>72</v>
      </c>
      <c r="B2" s="593" t="s">
        <v>58</v>
      </c>
      <c r="C2" s="594"/>
      <c r="D2" s="593" t="s">
        <v>59</v>
      </c>
      <c r="E2" s="595"/>
      <c r="F2" s="1461"/>
    </row>
    <row r="3" spans="1:6" s="136" customFormat="1" ht="35.25" customHeight="1" thickBot="1" x14ac:dyDescent="0.25">
      <c r="A3" s="1463"/>
      <c r="B3" s="596" t="s">
        <v>64</v>
      </c>
      <c r="C3" s="597" t="s">
        <v>1020</v>
      </c>
      <c r="D3" s="596" t="s">
        <v>64</v>
      </c>
      <c r="E3" s="598" t="str">
        <f>+C3</f>
        <v>2020.évi előirányzat</v>
      </c>
      <c r="F3" s="1461"/>
    </row>
    <row r="4" spans="1:6" s="141" customFormat="1" ht="12" customHeight="1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1"/>
    </row>
    <row r="5" spans="1:6" ht="12.95" customHeight="1" x14ac:dyDescent="0.2">
      <c r="A5" s="599" t="s">
        <v>21</v>
      </c>
      <c r="B5" s="158" t="s">
        <v>322</v>
      </c>
      <c r="C5" s="576">
        <f>'1.1.sz.mell. '!C11</f>
        <v>1492762052</v>
      </c>
      <c r="D5" s="158" t="s">
        <v>65</v>
      </c>
      <c r="E5" s="35">
        <f>'1.1.sz.mell. '!C102</f>
        <v>1217602544</v>
      </c>
      <c r="F5" s="1461"/>
    </row>
    <row r="6" spans="1:6" ht="12.95" customHeight="1" x14ac:dyDescent="0.2">
      <c r="A6" s="600" t="s">
        <v>22</v>
      </c>
      <c r="B6" s="148" t="s">
        <v>323</v>
      </c>
      <c r="C6" s="36">
        <f>'1.1.sz.mell. '!C20</f>
        <v>341203773</v>
      </c>
      <c r="D6" s="148" t="s">
        <v>148</v>
      </c>
      <c r="E6" s="35">
        <f>'1.1.sz.mell. '!C103</f>
        <v>229344560</v>
      </c>
      <c r="F6" s="1461"/>
    </row>
    <row r="7" spans="1:6" ht="12.95" customHeight="1" x14ac:dyDescent="0.2">
      <c r="A7" s="600" t="s">
        <v>23</v>
      </c>
      <c r="B7" s="148" t="s">
        <v>343</v>
      </c>
      <c r="C7" s="36">
        <f>'1.1.sz.mell. '!C26</f>
        <v>202062785</v>
      </c>
      <c r="D7" s="148" t="s">
        <v>177</v>
      </c>
      <c r="E7" s="35">
        <f>'1.1.sz.mell. '!C104</f>
        <v>936651720</v>
      </c>
      <c r="F7" s="1461"/>
    </row>
    <row r="8" spans="1:6" ht="12.95" customHeight="1" x14ac:dyDescent="0.2">
      <c r="A8" s="600" t="s">
        <v>24</v>
      </c>
      <c r="B8" s="148" t="s">
        <v>139</v>
      </c>
      <c r="C8" s="36">
        <f>'1.1.sz.mell. '!C34</f>
        <v>503000000</v>
      </c>
      <c r="D8" s="148" t="s">
        <v>149</v>
      </c>
      <c r="E8" s="37">
        <f>'1.1.sz.mell. '!C105</f>
        <v>61300000</v>
      </c>
      <c r="F8" s="1461"/>
    </row>
    <row r="9" spans="1:6" ht="12.95" customHeight="1" x14ac:dyDescent="0.2">
      <c r="A9" s="600" t="s">
        <v>25</v>
      </c>
      <c r="B9" s="601" t="s">
        <v>368</v>
      </c>
      <c r="C9" s="36">
        <f>'1.1.sz.mell. '!C42</f>
        <v>339351277</v>
      </c>
      <c r="D9" s="148" t="s">
        <v>150</v>
      </c>
      <c r="E9" s="37">
        <f>'1.1.sz.mell. '!C106</f>
        <v>214672293</v>
      </c>
      <c r="F9" s="1461"/>
    </row>
    <row r="10" spans="1:6" ht="12.95" customHeight="1" x14ac:dyDescent="0.2">
      <c r="A10" s="600" t="s">
        <v>26</v>
      </c>
      <c r="B10" s="148" t="s">
        <v>324</v>
      </c>
      <c r="C10" s="276">
        <f>'1.1.sz.mell. '!C60</f>
        <v>2539075</v>
      </c>
      <c r="D10" s="148" t="s">
        <v>52</v>
      </c>
      <c r="E10" s="37">
        <f>'1.1.sz.mell. '!C119-'2.2.sz.mell .'!E15</f>
        <v>72231447</v>
      </c>
      <c r="F10" s="1461"/>
    </row>
    <row r="11" spans="1:6" ht="12.95" customHeight="1" x14ac:dyDescent="0.2">
      <c r="A11" s="600" t="s">
        <v>27</v>
      </c>
      <c r="B11" s="148" t="s">
        <v>500</v>
      </c>
      <c r="C11" s="36">
        <f>'1.1.sz.mell. '!C64</f>
        <v>0</v>
      </c>
      <c r="D11" s="302"/>
      <c r="E11" s="37"/>
      <c r="F11" s="1461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61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61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61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61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61"/>
    </row>
    <row r="17" spans="1:6" ht="15.95" customHeight="1" thickBot="1" x14ac:dyDescent="0.25">
      <c r="A17" s="146" t="s">
        <v>33</v>
      </c>
      <c r="B17" s="58" t="s">
        <v>501</v>
      </c>
      <c r="C17" s="127">
        <f>SUM(C5:C16)-C7</f>
        <v>2678856177</v>
      </c>
      <c r="D17" s="58" t="s">
        <v>329</v>
      </c>
      <c r="E17" s="131">
        <f>SUM(E5:E16)</f>
        <v>2731802564</v>
      </c>
      <c r="F17" s="1461"/>
    </row>
    <row r="18" spans="1:6" ht="12.95" customHeight="1" x14ac:dyDescent="0.2">
      <c r="A18" s="603" t="s">
        <v>34</v>
      </c>
      <c r="B18" s="147" t="s">
        <v>326</v>
      </c>
      <c r="C18" s="234">
        <f>SUM(C19:C22)</f>
        <v>964635284</v>
      </c>
      <c r="D18" s="148" t="s">
        <v>156</v>
      </c>
      <c r="E18" s="132"/>
      <c r="F18" s="1461"/>
    </row>
    <row r="19" spans="1:6" ht="12.95" customHeight="1" x14ac:dyDescent="0.2">
      <c r="A19" s="600" t="s">
        <v>35</v>
      </c>
      <c r="B19" s="148" t="s">
        <v>170</v>
      </c>
      <c r="C19" s="36">
        <f>'1.1.sz.mell. '!C81</f>
        <v>964635284</v>
      </c>
      <c r="D19" s="148" t="s">
        <v>328</v>
      </c>
      <c r="E19" s="37">
        <f>'1.1.sz.mell. '!C139</f>
        <v>700000000</v>
      </c>
      <c r="F19" s="1461"/>
    </row>
    <row r="20" spans="1:6" ht="12.95" customHeight="1" x14ac:dyDescent="0.2">
      <c r="A20" s="600" t="s">
        <v>36</v>
      </c>
      <c r="B20" s="148" t="s">
        <v>171</v>
      </c>
      <c r="C20" s="36"/>
      <c r="D20" s="148" t="s">
        <v>131</v>
      </c>
      <c r="E20" s="37"/>
      <c r="F20" s="1461"/>
    </row>
    <row r="21" spans="1:6" ht="12.95" customHeight="1" x14ac:dyDescent="0.2">
      <c r="A21" s="600" t="s">
        <v>37</v>
      </c>
      <c r="B21" s="148" t="s">
        <v>175</v>
      </c>
      <c r="C21" s="36"/>
      <c r="D21" s="148" t="s">
        <v>132</v>
      </c>
      <c r="E21" s="37"/>
      <c r="F21" s="1461"/>
    </row>
    <row r="22" spans="1:6" ht="12.95" customHeight="1" x14ac:dyDescent="0.2">
      <c r="A22" s="600" t="s">
        <v>38</v>
      </c>
      <c r="B22" s="148" t="s">
        <v>176</v>
      </c>
      <c r="C22" s="36"/>
      <c r="D22" s="147" t="s">
        <v>178</v>
      </c>
      <c r="E22" s="37"/>
      <c r="F22" s="1461"/>
    </row>
    <row r="23" spans="1:6" ht="12.95" customHeight="1" x14ac:dyDescent="0.2">
      <c r="A23" s="600" t="s">
        <v>39</v>
      </c>
      <c r="B23" s="148" t="s">
        <v>327</v>
      </c>
      <c r="C23" s="149">
        <f>SUM(C24:C25)</f>
        <v>700000000</v>
      </c>
      <c r="D23" s="148" t="s">
        <v>157</v>
      </c>
      <c r="E23" s="37"/>
      <c r="F23" s="1461"/>
    </row>
    <row r="24" spans="1:6" ht="12.95" customHeight="1" x14ac:dyDescent="0.2">
      <c r="A24" s="603" t="s">
        <v>40</v>
      </c>
      <c r="B24" s="147" t="s">
        <v>325</v>
      </c>
      <c r="C24" s="128">
        <f>'1.1.sz.mell. '!C73</f>
        <v>700000000</v>
      </c>
      <c r="D24" s="158" t="s">
        <v>483</v>
      </c>
      <c r="E24" s="132"/>
      <c r="F24" s="1461"/>
    </row>
    <row r="25" spans="1:6" ht="12.95" customHeight="1" x14ac:dyDescent="0.2">
      <c r="A25" s="600" t="s">
        <v>41</v>
      </c>
      <c r="B25" s="148" t="s">
        <v>502</v>
      </c>
      <c r="C25" s="36"/>
      <c r="D25" s="148" t="s">
        <v>491</v>
      </c>
      <c r="E25" s="37"/>
      <c r="F25" s="1461"/>
    </row>
    <row r="26" spans="1:6" ht="12.95" customHeight="1" x14ac:dyDescent="0.2">
      <c r="A26" s="600" t="s">
        <v>42</v>
      </c>
      <c r="B26" s="1146" t="s">
        <v>270</v>
      </c>
      <c r="C26" s="36">
        <f>'1.1.sz.mell. '!C84</f>
        <v>45672254</v>
      </c>
      <c r="D26" s="148" t="s">
        <v>492</v>
      </c>
      <c r="E26" s="37"/>
      <c r="F26" s="1461"/>
    </row>
    <row r="27" spans="1:6" ht="12.95" customHeight="1" thickBot="1" x14ac:dyDescent="0.25">
      <c r="A27" s="603" t="s">
        <v>43</v>
      </c>
      <c r="B27" s="147" t="s">
        <v>283</v>
      </c>
      <c r="C27" s="128"/>
      <c r="D27" s="604" t="s">
        <v>546</v>
      </c>
      <c r="E27" s="132">
        <f>'1.1.sz.mell. '!C150</f>
        <v>45672254</v>
      </c>
      <c r="F27" s="1461"/>
    </row>
    <row r="28" spans="1:6" ht="21.75" customHeight="1" thickBot="1" x14ac:dyDescent="0.25">
      <c r="A28" s="146" t="s">
        <v>44</v>
      </c>
      <c r="B28" s="58" t="s">
        <v>503</v>
      </c>
      <c r="C28" s="127">
        <f>+C18+C23+C26+C27</f>
        <v>1710307538</v>
      </c>
      <c r="D28" s="58" t="s">
        <v>504</v>
      </c>
      <c r="E28" s="131">
        <f>SUM(E18:E27)</f>
        <v>745672254</v>
      </c>
      <c r="F28" s="1461"/>
    </row>
    <row r="29" spans="1:6" ht="13.5" thickBot="1" x14ac:dyDescent="0.25">
      <c r="A29" s="146" t="s">
        <v>45</v>
      </c>
      <c r="B29" s="150" t="s">
        <v>505</v>
      </c>
      <c r="C29" s="307">
        <f>+C17+C28</f>
        <v>4389163715</v>
      </c>
      <c r="D29" s="150" t="s">
        <v>506</v>
      </c>
      <c r="E29" s="307">
        <f>E28+E17</f>
        <v>3477474818</v>
      </c>
      <c r="F29" s="1461"/>
    </row>
    <row r="30" spans="1:6" ht="13.5" thickBot="1" x14ac:dyDescent="0.25">
      <c r="A30" s="146" t="s">
        <v>46</v>
      </c>
      <c r="B30" s="150" t="s">
        <v>134</v>
      </c>
      <c r="C30" s="307">
        <f>IF(C17-E17&lt;0,E17-C17,"-")</f>
        <v>52946387</v>
      </c>
      <c r="D30" s="150" t="s">
        <v>135</v>
      </c>
      <c r="E30" s="307" t="str">
        <f>IF(C17-E17&gt;0,C17-E17,"-")</f>
        <v>-</v>
      </c>
      <c r="F30" s="1461"/>
    </row>
    <row r="31" spans="1:6" s="854" customFormat="1" ht="13.5" thickBot="1" x14ac:dyDescent="0.25">
      <c r="A31" s="146" t="s">
        <v>47</v>
      </c>
      <c r="B31" s="150" t="s">
        <v>1021</v>
      </c>
      <c r="C31" s="307" t="str">
        <f>IF(C28-E28&lt;0,E28-C28,"-")</f>
        <v>-</v>
      </c>
      <c r="D31" s="150" t="s">
        <v>1022</v>
      </c>
      <c r="E31" s="307">
        <f>IF(C28-E28&gt;0,C28-E28,"-")</f>
        <v>964635284</v>
      </c>
      <c r="F31" s="1461"/>
    </row>
    <row r="32" spans="1:6" ht="13.5" thickBot="1" x14ac:dyDescent="0.25">
      <c r="A32" s="146" t="s">
        <v>48</v>
      </c>
      <c r="B32" s="150" t="s">
        <v>179</v>
      </c>
      <c r="C32" s="151" t="str">
        <f>IF(C29-E29&lt;0,E29-C29,"-")</f>
        <v>-</v>
      </c>
      <c r="D32" s="150" t="s">
        <v>180</v>
      </c>
      <c r="E32" s="307">
        <f>IF(C29-E29&gt;0,C29-E29,"-")</f>
        <v>911688897</v>
      </c>
      <c r="F32" s="1461"/>
    </row>
    <row r="33" spans="2:4" ht="18.75" x14ac:dyDescent="0.2">
      <c r="B33" s="1464"/>
      <c r="C33" s="1464"/>
      <c r="D33" s="1464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39"/>
  <sheetViews>
    <sheetView topLeftCell="A19" zoomScaleSheetLayoutView="115" workbookViewId="0">
      <selection activeCell="C36" sqref="C36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68" t="s">
        <v>573</v>
      </c>
      <c r="B1" s="1468"/>
      <c r="C1" s="1468"/>
      <c r="D1" s="1468"/>
      <c r="E1" s="1468"/>
      <c r="F1" s="1461" t="str">
        <f>CONCATENATE("5. melléklet ",ALAPADATOK!A7," ",ALAPADATOK!B7," ",ALAPADATOK!C7," ",ALAPADATOK!D7," ",ALAPADATOK!E7," ",ALAPADATOK!F7," ",ALAPADATOK!G7," ",ALAPADATOK!H7)</f>
        <v>5. melléklet a  / 2020. (  ) önkormányzati rendelethez</v>
      </c>
    </row>
    <row r="2" spans="1:6" ht="13.5" thickBot="1" x14ac:dyDescent="0.25">
      <c r="A2" s="1466" t="s">
        <v>72</v>
      </c>
      <c r="B2" s="133" t="s">
        <v>58</v>
      </c>
      <c r="C2" s="134"/>
      <c r="D2" s="133" t="s">
        <v>59</v>
      </c>
      <c r="E2" s="135"/>
      <c r="F2" s="1461"/>
    </row>
    <row r="3" spans="1:6" s="136" customFormat="1" ht="24.75" thickBot="1" x14ac:dyDescent="0.25">
      <c r="A3" s="1467"/>
      <c r="B3" s="73" t="s">
        <v>64</v>
      </c>
      <c r="C3" s="29" t="s">
        <v>786</v>
      </c>
      <c r="D3" s="73" t="s">
        <v>64</v>
      </c>
      <c r="E3" s="29" t="s">
        <v>786</v>
      </c>
      <c r="F3" s="1461"/>
    </row>
    <row r="4" spans="1:6" s="136" customFormat="1" ht="13.5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1"/>
    </row>
    <row r="5" spans="1:6" ht="12.95" customHeight="1" x14ac:dyDescent="0.2">
      <c r="A5" s="142" t="s">
        <v>21</v>
      </c>
      <c r="B5" s="143" t="s">
        <v>330</v>
      </c>
      <c r="C5" s="576">
        <f>'1.1.sz.mell. '!C27</f>
        <v>312308446</v>
      </c>
      <c r="D5" s="158" t="s">
        <v>172</v>
      </c>
      <c r="E5" s="35">
        <f>'1.1.sz.mell. '!C123</f>
        <v>675620518</v>
      </c>
      <c r="F5" s="1461"/>
    </row>
    <row r="6" spans="1:6" ht="12.75" customHeight="1" x14ac:dyDescent="0.2">
      <c r="A6" s="144" t="s">
        <v>22</v>
      </c>
      <c r="B6" s="145" t="s">
        <v>331</v>
      </c>
      <c r="C6" s="36">
        <f>'1.1.sz.mell. '!C33</f>
        <v>237747630</v>
      </c>
      <c r="D6" s="148" t="s">
        <v>336</v>
      </c>
      <c r="E6" s="286">
        <f>'1.1.sz.mell. '!C124</f>
        <v>577527057</v>
      </c>
      <c r="F6" s="1461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152</v>
      </c>
      <c r="E7" s="286">
        <f>'1.1.sz.mell. '!C125</f>
        <v>529726963</v>
      </c>
      <c r="F7" s="1461"/>
    </row>
    <row r="8" spans="1:6" ht="12.95" customHeight="1" x14ac:dyDescent="0.2">
      <c r="A8" s="144" t="s">
        <v>24</v>
      </c>
      <c r="B8" s="145" t="s">
        <v>332</v>
      </c>
      <c r="C8" s="36">
        <f>'1.1.sz.mell. '!C65</f>
        <v>6000000</v>
      </c>
      <c r="D8" s="148" t="s">
        <v>337</v>
      </c>
      <c r="E8" s="286">
        <f>'1.1.sz.mell. '!C126</f>
        <v>285432147</v>
      </c>
      <c r="F8" s="1461"/>
    </row>
    <row r="9" spans="1:6" ht="12.75" customHeight="1" x14ac:dyDescent="0.2">
      <c r="A9" s="144" t="s">
        <v>25</v>
      </c>
      <c r="B9" s="145" t="s">
        <v>333</v>
      </c>
      <c r="C9" s="36"/>
      <c r="D9" s="148" t="s">
        <v>174</v>
      </c>
      <c r="E9" s="37">
        <f>'1.1.sz.mell. '!C127</f>
        <v>6878720</v>
      </c>
      <c r="F9" s="1461"/>
    </row>
    <row r="10" spans="1:6" ht="12.95" customHeight="1" x14ac:dyDescent="0.2">
      <c r="A10" s="144" t="s">
        <v>26</v>
      </c>
      <c r="B10" s="145" t="s">
        <v>334</v>
      </c>
      <c r="C10" s="276"/>
      <c r="D10" s="261"/>
      <c r="E10" s="37"/>
      <c r="F10" s="1461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61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61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61"/>
    </row>
    <row r="14" spans="1:6" x14ac:dyDescent="0.2">
      <c r="A14" s="144" t="s">
        <v>30</v>
      </c>
      <c r="B14" s="30"/>
      <c r="C14" s="276"/>
      <c r="D14" s="261"/>
      <c r="E14" s="37"/>
      <c r="F14" s="1461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69907830</v>
      </c>
      <c r="F15" s="1461"/>
    </row>
    <row r="16" spans="1:6" ht="15.95" customHeight="1" thickBot="1" x14ac:dyDescent="0.25">
      <c r="A16" s="146" t="s">
        <v>32</v>
      </c>
      <c r="B16" s="58" t="s">
        <v>344</v>
      </c>
      <c r="C16" s="127">
        <f>+C5+C7+C8+C10+C11+C12+C13+C14+C15</f>
        <v>362912954</v>
      </c>
      <c r="D16" s="58" t="s">
        <v>345</v>
      </c>
      <c r="E16" s="131">
        <f>+E5+E7+E9+E10+E11+E12+E13+E14+E15</f>
        <v>1282134031</v>
      </c>
      <c r="F16" s="1461"/>
    </row>
    <row r="17" spans="1:6" ht="12.95" customHeight="1" x14ac:dyDescent="0.2">
      <c r="A17" s="142" t="s">
        <v>33</v>
      </c>
      <c r="B17" s="154" t="s">
        <v>192</v>
      </c>
      <c r="C17" s="161">
        <f>+C18+C19+C20+C21+C22</f>
        <v>0</v>
      </c>
      <c r="D17" s="148" t="s">
        <v>156</v>
      </c>
      <c r="E17" s="35"/>
      <c r="F17" s="1461"/>
    </row>
    <row r="18" spans="1:6" ht="12.95" customHeight="1" x14ac:dyDescent="0.2">
      <c r="A18" s="144" t="s">
        <v>34</v>
      </c>
      <c r="B18" s="155" t="s">
        <v>181</v>
      </c>
      <c r="C18" s="36"/>
      <c r="D18" s="148" t="s">
        <v>159</v>
      </c>
      <c r="E18" s="37">
        <f>SUM(E19:E20)</f>
        <v>26038434</v>
      </c>
      <c r="F18" s="1461"/>
    </row>
    <row r="19" spans="1:6" ht="12.95" customHeight="1" x14ac:dyDescent="0.2">
      <c r="A19" s="142" t="s">
        <v>35</v>
      </c>
      <c r="B19" s="155" t="s">
        <v>182</v>
      </c>
      <c r="C19" s="36"/>
      <c r="D19" s="701" t="s">
        <v>131</v>
      </c>
      <c r="E19" s="37"/>
      <c r="F19" s="1461"/>
    </row>
    <row r="20" spans="1:6" ht="12.95" customHeight="1" x14ac:dyDescent="0.2">
      <c r="A20" s="144" t="s">
        <v>36</v>
      </c>
      <c r="B20" s="155" t="s">
        <v>183</v>
      </c>
      <c r="C20" s="36"/>
      <c r="D20" s="701" t="s">
        <v>132</v>
      </c>
      <c r="E20" s="37">
        <f>'1.1.sz.mell. '!C138</f>
        <v>26038434</v>
      </c>
      <c r="F20" s="1461"/>
    </row>
    <row r="21" spans="1:6" ht="12.95" customHeight="1" x14ac:dyDescent="0.2">
      <c r="A21" s="142" t="s">
        <v>37</v>
      </c>
      <c r="B21" s="155" t="s">
        <v>184</v>
      </c>
      <c r="C21" s="36"/>
      <c r="D21" s="147" t="s">
        <v>178</v>
      </c>
      <c r="E21" s="37"/>
      <c r="F21" s="1461"/>
    </row>
    <row r="22" spans="1:6" ht="12.95" customHeight="1" x14ac:dyDescent="0.2">
      <c r="A22" s="144" t="s">
        <v>38</v>
      </c>
      <c r="B22" s="156" t="s">
        <v>185</v>
      </c>
      <c r="C22" s="36"/>
      <c r="D22" s="148" t="s">
        <v>160</v>
      </c>
      <c r="E22" s="37"/>
      <c r="F22" s="1461"/>
    </row>
    <row r="23" spans="1:6" ht="12.95" customHeight="1" x14ac:dyDescent="0.2">
      <c r="A23" s="142" t="s">
        <v>39</v>
      </c>
      <c r="B23" s="157" t="s">
        <v>186</v>
      </c>
      <c r="C23" s="438">
        <f>+C24+C25+C26+C27+C28</f>
        <v>33570614</v>
      </c>
      <c r="D23" s="158" t="s">
        <v>158</v>
      </c>
      <c r="E23" s="37"/>
      <c r="F23" s="1461"/>
    </row>
    <row r="24" spans="1:6" ht="12.95" customHeight="1" x14ac:dyDescent="0.2">
      <c r="A24" s="144" t="s">
        <v>40</v>
      </c>
      <c r="B24" s="156" t="s">
        <v>187</v>
      </c>
      <c r="C24" s="36">
        <f>'1.1.sz.mell. '!C72</f>
        <v>33570614</v>
      </c>
      <c r="D24" s="158" t="s">
        <v>338</v>
      </c>
      <c r="E24" s="37"/>
      <c r="F24" s="1461"/>
    </row>
    <row r="25" spans="1:6" ht="12.95" customHeight="1" x14ac:dyDescent="0.2">
      <c r="A25" s="142" t="s">
        <v>41</v>
      </c>
      <c r="B25" s="156" t="s">
        <v>188</v>
      </c>
      <c r="C25" s="36"/>
      <c r="D25" s="153"/>
      <c r="E25" s="37"/>
      <c r="F25" s="1461"/>
    </row>
    <row r="26" spans="1:6" ht="12.95" customHeight="1" x14ac:dyDescent="0.2">
      <c r="A26" s="144" t="s">
        <v>42</v>
      </c>
      <c r="B26" s="155" t="s">
        <v>189</v>
      </c>
      <c r="C26" s="36"/>
      <c r="D26" s="153"/>
      <c r="E26" s="37"/>
      <c r="F26" s="1461"/>
    </row>
    <row r="27" spans="1:6" ht="12.95" customHeight="1" x14ac:dyDescent="0.2">
      <c r="A27" s="142" t="s">
        <v>43</v>
      </c>
      <c r="B27" s="159" t="s">
        <v>190</v>
      </c>
      <c r="C27" s="36"/>
      <c r="D27" s="302"/>
      <c r="E27" s="37"/>
      <c r="F27" s="1461"/>
    </row>
    <row r="28" spans="1:6" ht="12.95" customHeight="1" thickBot="1" x14ac:dyDescent="0.25">
      <c r="A28" s="144" t="s">
        <v>44</v>
      </c>
      <c r="B28" s="160" t="s">
        <v>191</v>
      </c>
      <c r="C28" s="36"/>
      <c r="D28" s="153"/>
      <c r="E28" s="37"/>
      <c r="F28" s="1461"/>
    </row>
    <row r="29" spans="1:6" ht="21.75" customHeight="1" thickBot="1" x14ac:dyDescent="0.25">
      <c r="A29" s="146" t="s">
        <v>45</v>
      </c>
      <c r="B29" s="58" t="s">
        <v>335</v>
      </c>
      <c r="C29" s="127">
        <f>+C17+C23</f>
        <v>33570614</v>
      </c>
      <c r="D29" s="58" t="s">
        <v>339</v>
      </c>
      <c r="E29" s="131">
        <f>SUM(E17:E28)-E19-E20</f>
        <v>26038434</v>
      </c>
      <c r="F29" s="1461"/>
    </row>
    <row r="30" spans="1:6" ht="13.5" thickBot="1" x14ac:dyDescent="0.25">
      <c r="A30" s="146" t="s">
        <v>46</v>
      </c>
      <c r="B30" s="150" t="s">
        <v>340</v>
      </c>
      <c r="C30" s="151">
        <f>+C16+C29</f>
        <v>396483568</v>
      </c>
      <c r="D30" s="150" t="s">
        <v>341</v>
      </c>
      <c r="E30" s="151">
        <f>+E16+E29</f>
        <v>1308172465</v>
      </c>
      <c r="F30" s="1461"/>
    </row>
    <row r="31" spans="1:6" ht="13.5" thickBot="1" x14ac:dyDescent="0.25">
      <c r="A31" s="146" t="s">
        <v>47</v>
      </c>
      <c r="B31" s="150" t="s">
        <v>134</v>
      </c>
      <c r="C31" s="151">
        <f>IF(C16-E16&lt;0,E16-C16,"-")</f>
        <v>919221077</v>
      </c>
      <c r="D31" s="150" t="s">
        <v>135</v>
      </c>
      <c r="E31" s="151" t="str">
        <f>IF(C16-E16&gt;0,C16-E16,"-")</f>
        <v>-</v>
      </c>
      <c r="F31" s="1461"/>
    </row>
    <row r="32" spans="1:6" s="854" customFormat="1" ht="13.5" thickBot="1" x14ac:dyDescent="0.25">
      <c r="A32" s="146" t="s">
        <v>48</v>
      </c>
      <c r="B32" s="150" t="s">
        <v>1021</v>
      </c>
      <c r="C32" s="307" t="str">
        <f>IF(C29-E29&lt;0,E29-C29,"-")</f>
        <v>-</v>
      </c>
      <c r="D32" s="150" t="s">
        <v>1022</v>
      </c>
      <c r="E32" s="307">
        <f>IF(C29-E29&gt;0,C29-E29,"-")</f>
        <v>7532180</v>
      </c>
      <c r="F32" s="1461"/>
    </row>
    <row r="33" spans="1:6" ht="13.5" thickBot="1" x14ac:dyDescent="0.25">
      <c r="A33" s="146" t="s">
        <v>1023</v>
      </c>
      <c r="B33" s="150" t="s">
        <v>179</v>
      </c>
      <c r="C33" s="151">
        <f>IF(C30-E30&lt;0,E30-C30,"-")</f>
        <v>911688897</v>
      </c>
      <c r="D33" s="150" t="s">
        <v>180</v>
      </c>
      <c r="E33" s="151" t="str">
        <f>IF(C30-E30&gt;0,C30-E30,"-")</f>
        <v>-</v>
      </c>
      <c r="F33" s="1461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3" customWidth="1"/>
    <col min="2" max="2" width="16.83203125" style="853" customWidth="1"/>
    <col min="3" max="3" width="66.1640625" style="853" customWidth="1"/>
    <col min="4" max="4" width="13.83203125" style="853" customWidth="1"/>
    <col min="5" max="5" width="17.6640625" style="853" customWidth="1"/>
    <col min="6" max="16384" width="9.33203125" style="853"/>
  </cols>
  <sheetData>
    <row r="1" spans="1:5" ht="18.75" x14ac:dyDescent="0.3">
      <c r="A1" s="850" t="s">
        <v>895</v>
      </c>
      <c r="E1" s="851" t="s">
        <v>896</v>
      </c>
    </row>
    <row r="3" spans="1:5" x14ac:dyDescent="0.2">
      <c r="A3" s="852"/>
      <c r="B3" s="855"/>
      <c r="C3" s="852"/>
      <c r="D3" s="856"/>
      <c r="E3" s="855"/>
    </row>
    <row r="4" spans="1:5" ht="15.75" x14ac:dyDescent="0.25">
      <c r="A4" s="857" t="str">
        <f>+[1]KV_ÖSSZEFÜGGÉSEK!A5</f>
        <v>2020. évi előirányzat BEVÉTELEK</v>
      </c>
      <c r="B4" s="858"/>
      <c r="C4" s="859"/>
      <c r="D4" s="856"/>
      <c r="E4" s="855"/>
    </row>
    <row r="5" spans="1:5" x14ac:dyDescent="0.2">
      <c r="A5" s="852"/>
      <c r="B5" s="855"/>
      <c r="C5" s="852"/>
      <c r="D5" s="856"/>
      <c r="E5" s="855"/>
    </row>
    <row r="6" spans="1:5" x14ac:dyDescent="0.2">
      <c r="A6" s="852" t="s">
        <v>897</v>
      </c>
      <c r="B6" s="855">
        <f>'1.1.sz.mell. '!C70</f>
        <v>3041769131</v>
      </c>
      <c r="C6" s="852" t="s">
        <v>898</v>
      </c>
      <c r="D6" s="856">
        <f>'2.1.sz.mell '!C17+'2.2.sz.mell .'!C16</f>
        <v>3041769131</v>
      </c>
      <c r="E6" s="855">
        <f t="shared" ref="E6:E15" si="0">+B6-D6</f>
        <v>0</v>
      </c>
    </row>
    <row r="7" spans="1:5" x14ac:dyDescent="0.2">
      <c r="A7" s="852" t="s">
        <v>899</v>
      </c>
      <c r="B7" s="855">
        <f>'1.1.sz.mell. '!C94</f>
        <v>1743878152</v>
      </c>
      <c r="C7" s="852" t="s">
        <v>900</v>
      </c>
      <c r="D7" s="856">
        <f>'2.1.sz.mell '!C28+'2.2.sz.mell .'!C29</f>
        <v>1743878152</v>
      </c>
      <c r="E7" s="855">
        <f t="shared" si="0"/>
        <v>0</v>
      </c>
    </row>
    <row r="8" spans="1:5" x14ac:dyDescent="0.2">
      <c r="A8" s="852" t="s">
        <v>901</v>
      </c>
      <c r="B8" s="855">
        <f>'1.1.sz.mell. '!C95</f>
        <v>4785647283</v>
      </c>
      <c r="C8" s="852" t="s">
        <v>902</v>
      </c>
      <c r="D8" s="856">
        <f>'2.1.sz.mell '!C29+'2.2.sz.mell .'!C30</f>
        <v>4785647283</v>
      </c>
      <c r="E8" s="855">
        <f t="shared" si="0"/>
        <v>0</v>
      </c>
    </row>
    <row r="9" spans="1:5" x14ac:dyDescent="0.2">
      <c r="A9" s="852"/>
      <c r="B9" s="855"/>
      <c r="C9" s="852"/>
      <c r="D9" s="856"/>
      <c r="E9" s="855"/>
    </row>
    <row r="10" spans="1:5" x14ac:dyDescent="0.2">
      <c r="A10" s="852"/>
      <c r="B10" s="855"/>
      <c r="C10" s="852"/>
      <c r="D10" s="856"/>
      <c r="E10" s="855"/>
    </row>
    <row r="11" spans="1:5" ht="15.75" x14ac:dyDescent="0.25">
      <c r="A11" s="857" t="str">
        <f>+[1]KV_ÖSSZEFÜGGÉSEK!A12</f>
        <v>2020. évi előirányzat KIADÁSOK</v>
      </c>
      <c r="B11" s="858"/>
      <c r="C11" s="859"/>
      <c r="D11" s="856"/>
      <c r="E11" s="855"/>
    </row>
    <row r="12" spans="1:5" x14ac:dyDescent="0.2">
      <c r="A12" s="852"/>
      <c r="B12" s="855"/>
      <c r="C12" s="852"/>
      <c r="D12" s="856"/>
      <c r="E12" s="855"/>
    </row>
    <row r="13" spans="1:5" x14ac:dyDescent="0.2">
      <c r="A13" s="852" t="s">
        <v>903</v>
      </c>
      <c r="B13" s="855">
        <f>'1.1.sz.mell. '!C136</f>
        <v>4013936595</v>
      </c>
      <c r="C13" s="852" t="s">
        <v>904</v>
      </c>
      <c r="D13" s="856">
        <f>'2.1.sz.mell '!E17+'2.2.sz.mell .'!E16</f>
        <v>4013936595</v>
      </c>
      <c r="E13" s="855">
        <f t="shared" si="0"/>
        <v>0</v>
      </c>
    </row>
    <row r="14" spans="1:5" x14ac:dyDescent="0.2">
      <c r="A14" s="852" t="s">
        <v>905</v>
      </c>
      <c r="B14" s="855">
        <f>'1.1.sz.mell. '!C161</f>
        <v>771710688</v>
      </c>
      <c r="C14" s="852" t="s">
        <v>906</v>
      </c>
      <c r="D14" s="856">
        <f>'2.1.sz.mell '!E28+'2.2.sz.mell .'!E29</f>
        <v>771710688</v>
      </c>
      <c r="E14" s="855">
        <f t="shared" si="0"/>
        <v>0</v>
      </c>
    </row>
    <row r="15" spans="1:5" x14ac:dyDescent="0.2">
      <c r="A15" s="852" t="s">
        <v>907</v>
      </c>
      <c r="B15" s="855">
        <f>'1.1.sz.mell. '!C162</f>
        <v>4785647283</v>
      </c>
      <c r="C15" s="852" t="s">
        <v>908</v>
      </c>
      <c r="D15" s="856">
        <f>'2.1.sz.mell '!E29+'2.2.sz.mell .'!E30</f>
        <v>4785647283</v>
      </c>
      <c r="E15" s="855">
        <f t="shared" si="0"/>
        <v>0</v>
      </c>
    </row>
    <row r="16" spans="1:5" x14ac:dyDescent="0.2">
      <c r="A16" s="860"/>
      <c r="B16" s="860"/>
      <c r="C16" s="852"/>
      <c r="D16" s="856"/>
      <c r="E16" s="861"/>
    </row>
    <row r="17" spans="1:5" x14ac:dyDescent="0.2">
      <c r="A17" s="860"/>
      <c r="B17" s="860"/>
      <c r="C17" s="860"/>
      <c r="D17" s="860"/>
      <c r="E17" s="860"/>
    </row>
    <row r="18" spans="1:5" x14ac:dyDescent="0.2">
      <c r="A18" s="860"/>
      <c r="B18" s="860"/>
      <c r="C18" s="860"/>
      <c r="D18" s="860"/>
      <c r="E18" s="860"/>
    </row>
    <row r="19" spans="1:5" x14ac:dyDescent="0.2">
      <c r="A19" s="860"/>
      <c r="B19" s="860"/>
      <c r="C19" s="860"/>
      <c r="D19" s="860"/>
      <c r="E19" s="860"/>
    </row>
  </sheetData>
  <conditionalFormatting sqref="E3:E15">
    <cfRule type="cellIs" dxfId="14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35</vt:i4>
      </vt:variant>
    </vt:vector>
  </HeadingPairs>
  <TitlesOfParts>
    <vt:vector size="90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Ládi Zsanett</cp:lastModifiedBy>
  <cp:lastPrinted>2020-10-22T10:04:48Z</cp:lastPrinted>
  <dcterms:created xsi:type="dcterms:W3CDTF">1999-10-30T10:30:45Z</dcterms:created>
  <dcterms:modified xsi:type="dcterms:W3CDTF">2020-10-22T12:53:16Z</dcterms:modified>
</cp:coreProperties>
</file>