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40" activeTab="40"/>
  </bookViews>
  <sheets>
    <sheet name="1.1.sz.mell. " sheetId="1043" r:id="rId1"/>
    <sheet name="1.2.sz.mell. " sheetId="1044" r:id="rId2"/>
    <sheet name="1.3.sz.mell." sheetId="1045" r:id="rId3"/>
    <sheet name="1.4.sz.mell. " sheetId="1046" r:id="rId4"/>
    <sheet name="2.1.sz.mell " sheetId="1047" r:id="rId5"/>
    <sheet name="2.2.sz.mell ." sheetId="1048" r:id="rId6"/>
    <sheet name="3.sz.mell." sheetId="1099" r:id="rId7"/>
    <sheet name="4.sz.mell." sheetId="1049" r:id="rId8"/>
    <sheet name="5.sz.mell." sheetId="911" r:id="rId9"/>
    <sheet name="6.sz.mell." sheetId="1050" r:id="rId10"/>
    <sheet name="7.sz.mell." sheetId="1051" r:id="rId11"/>
    <sheet name="8. sz. mell. " sheetId="1052" r:id="rId12"/>
    <sheet name="8.1. sz. mell." sheetId="1082" r:id="rId13"/>
    <sheet name="8.2. sz. mell." sheetId="1081" r:id="rId14"/>
    <sheet name="8.3. sz. mell." sheetId="1083" r:id="rId15"/>
    <sheet name="9.1. sz. mell." sheetId="1053" r:id="rId16"/>
    <sheet name="9.1.1. sz. mell. " sheetId="1054" r:id="rId17"/>
    <sheet name="9.1.2. sz. mell." sheetId="1055" r:id="rId18"/>
    <sheet name="9.2. sz. mell. " sheetId="1056" r:id="rId19"/>
    <sheet name="9.2.1. sz. mell" sheetId="1057" r:id="rId20"/>
    <sheet name="9.2.2. sz.  mell" sheetId="991" r:id="rId21"/>
    <sheet name="9.2.3. sz. mell." sheetId="1058" r:id="rId22"/>
    <sheet name="9.3. sz. mell" sheetId="1084" r:id="rId23"/>
    <sheet name="9.3.1. sz. mell EOI" sheetId="1085" r:id="rId24"/>
    <sheet name="9.3.2.sz.mell EOI" sheetId="1086" r:id="rId25"/>
    <sheet name="9.4. sz. mell EKIK" sheetId="1087" r:id="rId26"/>
    <sheet name="9.4.1. sz. mell EKIK" sheetId="1088" r:id="rId27"/>
    <sheet name="9.4.2. sz. mell EKIK" sheetId="1089" r:id="rId28"/>
    <sheet name="9.5. sz. mell VK" sheetId="1090" r:id="rId29"/>
    <sheet name="9.5.1. sz. mell VK " sheetId="1091" r:id="rId30"/>
    <sheet name="9.5.2. sz. mell VK" sheetId="1092" r:id="rId31"/>
    <sheet name="9.6. sz. mell Kornisné Kp." sheetId="1093" r:id="rId32"/>
    <sheet name="9.6.1. sz. mell Kornisné Kp. " sheetId="1094" r:id="rId33"/>
    <sheet name="9.6.2. sz. mell Kornisné Kp." sheetId="1095" r:id="rId34"/>
    <sheet name="9.7. sz. mell TIB  " sheetId="1096" r:id="rId35"/>
    <sheet name="9.7.1. sz. mell TIB  " sheetId="1097" r:id="rId36"/>
    <sheet name="9.7.2. sz. mell TIB" sheetId="1098" r:id="rId37"/>
    <sheet name="int.összesítő" sheetId="1077" r:id="rId38"/>
    <sheet name="tartalék" sheetId="1071" r:id="rId39"/>
    <sheet name="12.sz.mell" sheetId="89" r:id="rId40"/>
    <sheet name="1.sz tájékoztató t " sheetId="1078" r:id="rId41"/>
    <sheet name="2. sz tájékoztató t." sheetId="1100" r:id="rId42"/>
    <sheet name="3. sz tájékoztató t." sheetId="273" r:id="rId43"/>
    <sheet name="4.sz tájékoztató t " sheetId="1073" r:id="rId44"/>
    <sheet name="5.sz. tájékoztató" sheetId="1080" r:id="rId45"/>
    <sheet name="6.sz tájékoztató t " sheetId="1074" r:id="rId46"/>
    <sheet name="feladatos Önk. " sheetId="1075" r:id="rId47"/>
    <sheet name="8.sz tájéloztató" sheetId="743" r:id="rId48"/>
  </sheets>
  <definedNames>
    <definedName name="_xlnm.Print_Titles" localSheetId="15">'9.1. sz. mell.'!$1:$6</definedName>
    <definedName name="_xlnm.Print_Titles" localSheetId="16">'9.1.1. sz. mell. '!$1:$6</definedName>
    <definedName name="_xlnm.Print_Titles" localSheetId="17">'9.1.2. sz. mell.'!$1:$6</definedName>
    <definedName name="_xlnm.Print_Titles" localSheetId="18">'9.2. sz. mell. '!$1:$6</definedName>
    <definedName name="_xlnm.Print_Titles" localSheetId="19">'9.2.1. sz. mell'!$1:$6</definedName>
    <definedName name="_xlnm.Print_Titles" localSheetId="20">'9.2.2. sz.  mell'!$1:$6</definedName>
    <definedName name="_xlnm.Print_Titles" localSheetId="21">'9.2.3. sz. mell.'!$1:$6</definedName>
    <definedName name="_xlnm.Print_Titles" localSheetId="22">'9.3. sz. mell'!$1:$6</definedName>
    <definedName name="_xlnm.Print_Titles" localSheetId="23">'9.3.1. sz. mell EOI'!$1:$6</definedName>
    <definedName name="_xlnm.Print_Titles" localSheetId="25">'9.4. sz. mell EKIK'!$1:$6</definedName>
    <definedName name="_xlnm.Print_Titles" localSheetId="26">'9.4.1. sz. mell EKIK'!$1:$6</definedName>
    <definedName name="_xlnm.Print_Titles" localSheetId="27">'9.4.2. sz. mell EKIK'!$1:$6</definedName>
    <definedName name="_xlnm.Print_Titles" localSheetId="28">'9.5. sz. mell VK'!$1:$6</definedName>
    <definedName name="_xlnm.Print_Titles" localSheetId="29">'9.5.1. sz. mell VK '!$1:$6</definedName>
    <definedName name="_xlnm.Print_Titles" localSheetId="30">'9.5.2. sz. mell VK'!$1:$6</definedName>
    <definedName name="_xlnm.Print_Titles" localSheetId="31">'9.6. sz. mell Kornisné Kp.'!$1:$6</definedName>
    <definedName name="_xlnm.Print_Titles" localSheetId="32">'9.6.1. sz. mell Kornisné Kp. '!$1:$6</definedName>
    <definedName name="_xlnm.Print_Titles" localSheetId="33">'9.6.2. sz. mell Kornisné Kp.'!$1:$6</definedName>
    <definedName name="_xlnm.Print_Titles" localSheetId="34">'9.7. sz. mell TIB  '!$1:$6</definedName>
    <definedName name="_xlnm.Print_Titles" localSheetId="35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15">'9.1. sz. mell.'!$A$1:$C$158</definedName>
  </definedNames>
  <calcPr calcId="145621"/>
</workbook>
</file>

<file path=xl/calcChain.xml><?xml version="1.0" encoding="utf-8"?>
<calcChain xmlns="http://schemas.openxmlformats.org/spreadsheetml/2006/main">
  <c r="C10" i="1049" l="1"/>
  <c r="C5" i="1049"/>
  <c r="I23" i="1073" l="1"/>
  <c r="C116" i="1078"/>
  <c r="C147" i="1078"/>
  <c r="C135" i="1078"/>
  <c r="C142" i="1078"/>
  <c r="C131" i="1078"/>
  <c r="C113" i="1078"/>
  <c r="C95" i="1078" s="1"/>
  <c r="C81" i="1078"/>
  <c r="C77" i="1078"/>
  <c r="C74" i="1078"/>
  <c r="C69" i="1078"/>
  <c r="C65" i="1078"/>
  <c r="C88" i="1078" s="1"/>
  <c r="C89" i="1078" s="1"/>
  <c r="C64" i="1078"/>
  <c r="C59" i="1078"/>
  <c r="C54" i="1078"/>
  <c r="C48" i="1078"/>
  <c r="C36" i="1078"/>
  <c r="C28" i="1078"/>
  <c r="C29" i="1078"/>
  <c r="C7" i="1078"/>
  <c r="H27" i="1100"/>
  <c r="G27" i="1100"/>
  <c r="F27" i="1100"/>
  <c r="E27" i="1100"/>
  <c r="D27" i="1100"/>
  <c r="I22" i="1100"/>
  <c r="I21" i="1100"/>
  <c r="I20" i="1100"/>
  <c r="I19" i="1100"/>
  <c r="I18" i="1100"/>
  <c r="I17" i="1100"/>
  <c r="I16" i="1100"/>
  <c r="I15" i="1100"/>
  <c r="I14" i="1100"/>
  <c r="I13" i="1100"/>
  <c r="I12" i="1100"/>
  <c r="I11" i="1100"/>
  <c r="I10" i="1100"/>
  <c r="I9" i="1100"/>
  <c r="I7" i="1100"/>
  <c r="I6" i="1100"/>
  <c r="G21" i="1099"/>
  <c r="F21" i="1099"/>
  <c r="E21" i="1099"/>
  <c r="D21" i="1099"/>
  <c r="C21" i="1099"/>
  <c r="H20" i="1099"/>
  <c r="H19" i="1099"/>
  <c r="H18" i="1099"/>
  <c r="H17" i="1099"/>
  <c r="H16" i="1099"/>
  <c r="H15" i="1099"/>
  <c r="H14" i="1099"/>
  <c r="H13" i="1099"/>
  <c r="H12" i="1099"/>
  <c r="H11" i="1099"/>
  <c r="H10" i="1099"/>
  <c r="H9" i="1099"/>
  <c r="H8" i="1099"/>
  <c r="H7" i="1099"/>
  <c r="H6" i="1099"/>
  <c r="B45" i="1080"/>
  <c r="B40" i="1080"/>
  <c r="B43" i="1080"/>
  <c r="B41" i="1080"/>
  <c r="D9" i="273"/>
  <c r="D154" i="1078"/>
  <c r="D153" i="1078"/>
  <c r="D152" i="1078"/>
  <c r="D151" i="1078"/>
  <c r="D150" i="1078"/>
  <c r="D149" i="1078"/>
  <c r="D148" i="1078"/>
  <c r="G147" i="1078"/>
  <c r="F147" i="1078"/>
  <c r="E147" i="1078"/>
  <c r="D147" i="1078"/>
  <c r="D146" i="1078"/>
  <c r="D145" i="1078"/>
  <c r="E144" i="1078"/>
  <c r="D144" i="1078"/>
  <c r="D143" i="1078"/>
  <c r="G142" i="1078"/>
  <c r="F142" i="1078"/>
  <c r="E142" i="1078"/>
  <c r="D142" i="1078"/>
  <c r="D141" i="1078"/>
  <c r="D140" i="1078"/>
  <c r="D139" i="1078"/>
  <c r="D138" i="1078"/>
  <c r="D137" i="1078"/>
  <c r="D135" i="1078" s="1"/>
  <c r="D136" i="1078"/>
  <c r="G135" i="1078"/>
  <c r="F135" i="1078"/>
  <c r="E135" i="1078"/>
  <c r="D134" i="1078"/>
  <c r="D133" i="1078"/>
  <c r="D132" i="1078"/>
  <c r="G131" i="1078"/>
  <c r="G155" i="1078" s="1"/>
  <c r="F131" i="1078"/>
  <c r="F155" i="1078" s="1"/>
  <c r="E131" i="1078"/>
  <c r="E155" i="1078" s="1"/>
  <c r="D131" i="1078"/>
  <c r="E129" i="1078"/>
  <c r="D129" i="1078"/>
  <c r="D128" i="1078"/>
  <c r="D127" i="1078"/>
  <c r="D126" i="1078"/>
  <c r="D125" i="1078"/>
  <c r="D124" i="1078"/>
  <c r="D123" i="1078"/>
  <c r="D121" i="1078" s="1"/>
  <c r="D116" i="1078" s="1"/>
  <c r="D122" i="1078"/>
  <c r="E121" i="1078"/>
  <c r="D120" i="1078"/>
  <c r="E119" i="1078"/>
  <c r="D119" i="1078"/>
  <c r="E118" i="1078"/>
  <c r="D118" i="1078"/>
  <c r="E117" i="1078"/>
  <c r="D117" i="1078"/>
  <c r="G116" i="1078"/>
  <c r="F116" i="1078"/>
  <c r="E116" i="1078"/>
  <c r="E115" i="1078"/>
  <c r="D115" i="1078"/>
  <c r="E114" i="1078"/>
  <c r="D114" i="1078"/>
  <c r="D113" i="1078" s="1"/>
  <c r="G113" i="1078"/>
  <c r="E113" i="1078"/>
  <c r="E112" i="1078"/>
  <c r="D112" i="1078" s="1"/>
  <c r="D111" i="1078"/>
  <c r="D110" i="1078"/>
  <c r="D109" i="1078"/>
  <c r="D108" i="1078"/>
  <c r="D107" i="1078"/>
  <c r="D106" i="1078"/>
  <c r="D105" i="1078"/>
  <c r="D104" i="1078"/>
  <c r="D103" i="1078"/>
  <c r="D102" i="1078"/>
  <c r="D101" i="1078"/>
  <c r="F100" i="1078"/>
  <c r="E100" i="1078"/>
  <c r="E99" i="1078"/>
  <c r="D99" i="1078" s="1"/>
  <c r="E98" i="1078"/>
  <c r="D98" i="1078" s="1"/>
  <c r="E97" i="1078"/>
  <c r="D97" i="1078" s="1"/>
  <c r="E96" i="1078"/>
  <c r="D96" i="1078" s="1"/>
  <c r="G95" i="1078"/>
  <c r="G130" i="1078" s="1"/>
  <c r="G156" i="1078" s="1"/>
  <c r="F95" i="1078"/>
  <c r="F130" i="1078" s="1"/>
  <c r="F156" i="1078" s="1"/>
  <c r="E95" i="1078"/>
  <c r="E130" i="1078" s="1"/>
  <c r="E156" i="1078" s="1"/>
  <c r="D87" i="1078"/>
  <c r="D88" i="1078" s="1"/>
  <c r="D86" i="1078"/>
  <c r="D85" i="1078"/>
  <c r="D84" i="1078"/>
  <c r="D83" i="1078"/>
  <c r="D82" i="1078"/>
  <c r="G81" i="1078"/>
  <c r="F81" i="1078"/>
  <c r="E81" i="1078"/>
  <c r="D81" i="1078"/>
  <c r="D80" i="1078"/>
  <c r="D79" i="1078"/>
  <c r="D78" i="1078"/>
  <c r="G77" i="1078"/>
  <c r="F77" i="1078"/>
  <c r="E77" i="1078"/>
  <c r="D77" i="1078"/>
  <c r="D76" i="1078"/>
  <c r="D75" i="1078"/>
  <c r="G74" i="1078"/>
  <c r="F74" i="1078"/>
  <c r="E74" i="1078"/>
  <c r="D74" i="1078"/>
  <c r="D73" i="1078"/>
  <c r="D72" i="1078"/>
  <c r="D71" i="1078"/>
  <c r="D70" i="1078"/>
  <c r="G69" i="1078"/>
  <c r="F69" i="1078"/>
  <c r="E69" i="1078"/>
  <c r="D69" i="1078"/>
  <c r="D68" i="1078"/>
  <c r="D67" i="1078"/>
  <c r="D66" i="1078"/>
  <c r="G65" i="1078"/>
  <c r="G88" i="1078" s="1"/>
  <c r="F65" i="1078"/>
  <c r="F88" i="1078" s="1"/>
  <c r="E65" i="1078"/>
  <c r="E88" i="1078" s="1"/>
  <c r="D65" i="1078"/>
  <c r="D63" i="1078"/>
  <c r="D62" i="1078"/>
  <c r="D61" i="1078"/>
  <c r="D60" i="1078"/>
  <c r="G59" i="1078"/>
  <c r="F59" i="1078"/>
  <c r="E59" i="1078"/>
  <c r="D59" i="1078"/>
  <c r="D58" i="1078"/>
  <c r="E57" i="1078"/>
  <c r="D57" i="1078"/>
  <c r="E56" i="1078"/>
  <c r="D56" i="1078"/>
  <c r="D54" i="1078" s="1"/>
  <c r="D55" i="1078"/>
  <c r="G54" i="1078"/>
  <c r="F54" i="1078"/>
  <c r="E54" i="1078"/>
  <c r="D53" i="1078"/>
  <c r="D52" i="1078"/>
  <c r="E50" i="1078"/>
  <c r="D50" i="1078" s="1"/>
  <c r="D48" i="1078" s="1"/>
  <c r="D49" i="1078"/>
  <c r="G48" i="1078"/>
  <c r="F48" i="1078"/>
  <c r="E48" i="1078"/>
  <c r="E47" i="1078"/>
  <c r="D47" i="1078"/>
  <c r="E46" i="1078"/>
  <c r="D46" i="1078"/>
  <c r="D45" i="1078"/>
  <c r="D44" i="1078"/>
  <c r="D43" i="1078"/>
  <c r="E42" i="1078"/>
  <c r="D42" i="1078" s="1"/>
  <c r="G41" i="1078"/>
  <c r="D41" i="1078" s="1"/>
  <c r="E40" i="1078"/>
  <c r="D40" i="1078" s="1"/>
  <c r="E39" i="1078"/>
  <c r="D39" i="1078"/>
  <c r="E38" i="1078"/>
  <c r="D38" i="1078"/>
  <c r="E37" i="1078"/>
  <c r="D37" i="1078"/>
  <c r="G36" i="1078"/>
  <c r="F36" i="1078"/>
  <c r="E36" i="1078"/>
  <c r="D35" i="1078"/>
  <c r="D34" i="1078"/>
  <c r="E33" i="1078"/>
  <c r="D33" i="1078"/>
  <c r="D32" i="1078"/>
  <c r="E31" i="1078"/>
  <c r="D31" i="1078" s="1"/>
  <c r="E30" i="1078"/>
  <c r="D30" i="1078" s="1"/>
  <c r="E29" i="1078"/>
  <c r="G28" i="1078"/>
  <c r="F28" i="1078"/>
  <c r="E28" i="1078"/>
  <c r="D27" i="1078"/>
  <c r="E26" i="1078"/>
  <c r="D26" i="1078"/>
  <c r="D25" i="1078"/>
  <c r="D24" i="1078"/>
  <c r="D23" i="1078"/>
  <c r="D22" i="1078"/>
  <c r="G21" i="1078"/>
  <c r="F21" i="1078"/>
  <c r="E21" i="1078"/>
  <c r="D21" i="1078"/>
  <c r="D20" i="1078"/>
  <c r="E19" i="1078"/>
  <c r="D19" i="1078" s="1"/>
  <c r="D14" i="1078" s="1"/>
  <c r="D18" i="1078"/>
  <c r="D17" i="1078"/>
  <c r="D16" i="1078"/>
  <c r="D15" i="1078"/>
  <c r="G14" i="1078"/>
  <c r="F14" i="1078"/>
  <c r="E14" i="1078"/>
  <c r="D13" i="1078"/>
  <c r="E12" i="1078"/>
  <c r="D12" i="1078"/>
  <c r="E11" i="1078"/>
  <c r="D11" i="1078"/>
  <c r="E10" i="1078"/>
  <c r="D10" i="1078"/>
  <c r="D9" i="1078"/>
  <c r="D8" i="1078"/>
  <c r="G7" i="1078"/>
  <c r="G64" i="1078" s="1"/>
  <c r="F7" i="1078"/>
  <c r="F64" i="1078" s="1"/>
  <c r="F89" i="1078" s="1"/>
  <c r="E7" i="1078"/>
  <c r="E64" i="1078" s="1"/>
  <c r="D7" i="1078"/>
  <c r="C155" i="1078" l="1"/>
  <c r="C130" i="1078"/>
  <c r="C156" i="1078" s="1"/>
  <c r="I8" i="1100"/>
  <c r="I27" i="1100" s="1"/>
  <c r="H21" i="1099"/>
  <c r="D100" i="1078"/>
  <c r="D95" i="1078" s="1"/>
  <c r="D130" i="1078" s="1"/>
  <c r="D155" i="1078"/>
  <c r="E89" i="1078"/>
  <c r="G89" i="1078"/>
  <c r="D29" i="1078"/>
  <c r="D28" i="1078" s="1"/>
  <c r="D36" i="1078"/>
  <c r="D64" i="1078" s="1"/>
  <c r="D89" i="1078" s="1"/>
  <c r="D156" i="1078" l="1"/>
  <c r="H154" i="1078" l="1"/>
  <c r="H153" i="1078"/>
  <c r="H152" i="1078"/>
  <c r="H151" i="1078"/>
  <c r="H150" i="1078"/>
  <c r="H149" i="1078"/>
  <c r="H148" i="1078"/>
  <c r="K147" i="1078"/>
  <c r="J147" i="1078"/>
  <c r="I147" i="1078"/>
  <c r="H147" i="1078"/>
  <c r="H146" i="1078"/>
  <c r="H145" i="1078"/>
  <c r="H144" i="1078"/>
  <c r="H143" i="1078"/>
  <c r="K142" i="1078"/>
  <c r="J142" i="1078"/>
  <c r="I142" i="1078"/>
  <c r="H142" i="1078"/>
  <c r="H141" i="1078"/>
  <c r="H140" i="1078"/>
  <c r="H139" i="1078"/>
  <c r="H138" i="1078"/>
  <c r="H137" i="1078"/>
  <c r="H136" i="1078"/>
  <c r="K135" i="1078"/>
  <c r="J135" i="1078"/>
  <c r="I135" i="1078"/>
  <c r="H135" i="1078"/>
  <c r="H134" i="1078"/>
  <c r="H133" i="1078"/>
  <c r="I132" i="1078"/>
  <c r="H132" i="1078"/>
  <c r="K131" i="1078"/>
  <c r="K155" i="1078" s="1"/>
  <c r="J131" i="1078"/>
  <c r="J155" i="1078" s="1"/>
  <c r="I131" i="1078"/>
  <c r="I155" i="1078" s="1"/>
  <c r="H131" i="1078"/>
  <c r="H129" i="1078"/>
  <c r="H128" i="1078"/>
  <c r="H127" i="1078"/>
  <c r="H126" i="1078"/>
  <c r="H125" i="1078"/>
  <c r="H124" i="1078"/>
  <c r="H123" i="1078"/>
  <c r="H122" i="1078"/>
  <c r="H121" i="1078"/>
  <c r="H120" i="1078"/>
  <c r="I119" i="1078"/>
  <c r="H119" i="1078"/>
  <c r="I118" i="1078"/>
  <c r="H118" i="1078"/>
  <c r="I117" i="1078"/>
  <c r="H117" i="1078"/>
  <c r="K116" i="1078"/>
  <c r="J116" i="1078"/>
  <c r="I116" i="1078"/>
  <c r="H116" i="1078"/>
  <c r="H115" i="1078"/>
  <c r="H114" i="1078"/>
  <c r="K113" i="1078"/>
  <c r="I113" i="1078"/>
  <c r="H113" i="1078" s="1"/>
  <c r="I112" i="1078"/>
  <c r="H112" i="1078" s="1"/>
  <c r="H111" i="1078"/>
  <c r="H110" i="1078"/>
  <c r="H109" i="1078"/>
  <c r="H108" i="1078"/>
  <c r="H107" i="1078"/>
  <c r="H106" i="1078"/>
  <c r="H105" i="1078"/>
  <c r="H104" i="1078"/>
  <c r="H103" i="1078"/>
  <c r="H102" i="1078"/>
  <c r="H101" i="1078"/>
  <c r="I100" i="1078"/>
  <c r="H100" i="1078"/>
  <c r="I99" i="1078"/>
  <c r="H99" i="1078"/>
  <c r="J98" i="1078"/>
  <c r="I98" i="1078"/>
  <c r="H98" i="1078" s="1"/>
  <c r="J97" i="1078"/>
  <c r="I97" i="1078"/>
  <c r="H97" i="1078" s="1"/>
  <c r="J96" i="1078"/>
  <c r="I96" i="1078"/>
  <c r="K95" i="1078"/>
  <c r="K130" i="1078" s="1"/>
  <c r="K156" i="1078" s="1"/>
  <c r="H87" i="1078"/>
  <c r="H86" i="1078"/>
  <c r="H85" i="1078"/>
  <c r="H84" i="1078"/>
  <c r="H83" i="1078"/>
  <c r="H82" i="1078"/>
  <c r="K81" i="1078"/>
  <c r="J81" i="1078"/>
  <c r="I81" i="1078"/>
  <c r="H81" i="1078" s="1"/>
  <c r="H80" i="1078"/>
  <c r="H79" i="1078"/>
  <c r="H78" i="1078"/>
  <c r="K77" i="1078"/>
  <c r="J77" i="1078"/>
  <c r="I77" i="1078"/>
  <c r="H77" i="1078" s="1"/>
  <c r="H76" i="1078"/>
  <c r="H75" i="1078"/>
  <c r="K74" i="1078"/>
  <c r="J74" i="1078"/>
  <c r="I74" i="1078"/>
  <c r="H74" i="1078" s="1"/>
  <c r="H73" i="1078"/>
  <c r="H72" i="1078"/>
  <c r="H71" i="1078"/>
  <c r="H70" i="1078"/>
  <c r="K69" i="1078"/>
  <c r="J69" i="1078"/>
  <c r="I69" i="1078"/>
  <c r="H69" i="1078" s="1"/>
  <c r="H68" i="1078"/>
  <c r="H67" i="1078"/>
  <c r="H66" i="1078"/>
  <c r="K65" i="1078"/>
  <c r="J65" i="1078"/>
  <c r="J88" i="1078" s="1"/>
  <c r="I65" i="1078"/>
  <c r="H63" i="1078"/>
  <c r="H62" i="1078"/>
  <c r="H61" i="1078"/>
  <c r="H60" i="1078"/>
  <c r="K59" i="1078"/>
  <c r="J59" i="1078"/>
  <c r="I59" i="1078"/>
  <c r="H59" i="1078" s="1"/>
  <c r="H58" i="1078"/>
  <c r="H57" i="1078"/>
  <c r="I56" i="1078"/>
  <c r="H56" i="1078" s="1"/>
  <c r="H55" i="1078"/>
  <c r="K54" i="1078"/>
  <c r="J54" i="1078"/>
  <c r="H53" i="1078"/>
  <c r="H52" i="1078"/>
  <c r="H51" i="1078"/>
  <c r="H50" i="1078"/>
  <c r="H49" i="1078"/>
  <c r="K48" i="1078"/>
  <c r="J48" i="1078"/>
  <c r="I48" i="1078"/>
  <c r="H48" i="1078" s="1"/>
  <c r="I47" i="1078"/>
  <c r="H47" i="1078" s="1"/>
  <c r="H46" i="1078"/>
  <c r="H45" i="1078"/>
  <c r="H44" i="1078"/>
  <c r="H43" i="1078"/>
  <c r="J42" i="1078"/>
  <c r="J36" i="1078" s="1"/>
  <c r="I42" i="1078"/>
  <c r="H42" i="1078"/>
  <c r="H41" i="1078"/>
  <c r="H40" i="1078"/>
  <c r="I39" i="1078"/>
  <c r="H39" i="1078"/>
  <c r="J38" i="1078"/>
  <c r="I38" i="1078"/>
  <c r="H38" i="1078" s="1"/>
  <c r="H37" i="1078"/>
  <c r="K36" i="1078"/>
  <c r="I35" i="1078"/>
  <c r="H35" i="1078" s="1"/>
  <c r="I34" i="1078"/>
  <c r="H34" i="1078" s="1"/>
  <c r="H33" i="1078"/>
  <c r="H32" i="1078"/>
  <c r="H31" i="1078"/>
  <c r="I30" i="1078"/>
  <c r="H30" i="1078" s="1"/>
  <c r="I29" i="1078"/>
  <c r="H29" i="1078" s="1"/>
  <c r="K28" i="1078"/>
  <c r="J28" i="1078"/>
  <c r="I27" i="1078"/>
  <c r="H27" i="1078" s="1"/>
  <c r="I26" i="1078"/>
  <c r="H26" i="1078" s="1"/>
  <c r="H25" i="1078"/>
  <c r="H24" i="1078"/>
  <c r="H23" i="1078"/>
  <c r="H22" i="1078"/>
  <c r="K21" i="1078"/>
  <c r="J21" i="1078"/>
  <c r="I21" i="1078"/>
  <c r="H21" i="1078" s="1"/>
  <c r="H20" i="1078"/>
  <c r="I19" i="1078"/>
  <c r="H19" i="1078" s="1"/>
  <c r="H18" i="1078"/>
  <c r="H17" i="1078"/>
  <c r="H16" i="1078"/>
  <c r="H15" i="1078"/>
  <c r="K14" i="1078"/>
  <c r="J14" i="1078"/>
  <c r="I14" i="1078"/>
  <c r="H14" i="1078" s="1"/>
  <c r="H13" i="1078"/>
  <c r="I12" i="1078"/>
  <c r="H12" i="1078" s="1"/>
  <c r="I11" i="1078"/>
  <c r="H11" i="1078" s="1"/>
  <c r="I10" i="1078"/>
  <c r="H10" i="1078" s="1"/>
  <c r="H9" i="1078"/>
  <c r="H8" i="1078"/>
  <c r="K7" i="1078"/>
  <c r="K64" i="1078" s="1"/>
  <c r="J7" i="1078"/>
  <c r="I7" i="1078"/>
  <c r="C7" i="1049"/>
  <c r="D26" i="1071"/>
  <c r="C51" i="1098"/>
  <c r="C45" i="1098"/>
  <c r="C57" i="1098" s="1"/>
  <c r="C37" i="1098"/>
  <c r="C30" i="1098"/>
  <c r="C26" i="1098"/>
  <c r="C20" i="1098"/>
  <c r="C8" i="1098"/>
  <c r="C36" i="1098" s="1"/>
  <c r="C41" i="1098" s="1"/>
  <c r="C1" i="1098"/>
  <c r="C51" i="1097"/>
  <c r="C45" i="1097"/>
  <c r="C57" i="1097" s="1"/>
  <c r="C37" i="1097"/>
  <c r="C30" i="1097"/>
  <c r="C26" i="1097"/>
  <c r="C20" i="1097"/>
  <c r="C8" i="1097"/>
  <c r="C36" i="1097" s="1"/>
  <c r="C41" i="1097" s="1"/>
  <c r="C51" i="1096"/>
  <c r="C45" i="1096"/>
  <c r="C57" i="1096" s="1"/>
  <c r="C37" i="1096"/>
  <c r="C30" i="1096"/>
  <c r="C26" i="1096"/>
  <c r="C20" i="1096"/>
  <c r="C8" i="1096"/>
  <c r="C36" i="1096" s="1"/>
  <c r="C41" i="1096" s="1"/>
  <c r="C51" i="1095"/>
  <c r="C45" i="1095"/>
  <c r="C57" i="1095" s="1"/>
  <c r="C37" i="1095"/>
  <c r="C30" i="1095"/>
  <c r="C26" i="1095"/>
  <c r="C20" i="1095"/>
  <c r="C8" i="1095"/>
  <c r="C36" i="1095" s="1"/>
  <c r="C41" i="1095" s="1"/>
  <c r="C51" i="1094"/>
  <c r="C45" i="1094"/>
  <c r="C57" i="1094" s="1"/>
  <c r="C37" i="1094"/>
  <c r="C30" i="1094"/>
  <c r="C26" i="1094"/>
  <c r="C20" i="1094"/>
  <c r="C8" i="1094"/>
  <c r="C36" i="1094" s="1"/>
  <c r="C41" i="1094" s="1"/>
  <c r="C51" i="1093"/>
  <c r="C45" i="1093"/>
  <c r="C57" i="1093" s="1"/>
  <c r="C37" i="1093"/>
  <c r="C30" i="1093"/>
  <c r="C26" i="1093"/>
  <c r="C20" i="1093"/>
  <c r="C8" i="1093"/>
  <c r="C36" i="1093" s="1"/>
  <c r="C41" i="1093" s="1"/>
  <c r="C51" i="1092"/>
  <c r="C45" i="1092"/>
  <c r="C57" i="1092" s="1"/>
  <c r="C37" i="1092"/>
  <c r="C30" i="1092"/>
  <c r="C26" i="1092"/>
  <c r="C20" i="1092"/>
  <c r="C8" i="1092"/>
  <c r="C36" i="1092" s="1"/>
  <c r="C41" i="1092" s="1"/>
  <c r="C51" i="1091"/>
  <c r="C45" i="1091"/>
  <c r="C57" i="1091" s="1"/>
  <c r="C37" i="1091"/>
  <c r="C30" i="1091"/>
  <c r="C26" i="1091"/>
  <c r="C20" i="1091"/>
  <c r="C8" i="1091"/>
  <c r="C36" i="1091" s="1"/>
  <c r="C41" i="1091" s="1"/>
  <c r="C51" i="1090"/>
  <c r="C45" i="1090"/>
  <c r="C57" i="1090" s="1"/>
  <c r="C37" i="1090"/>
  <c r="C30" i="1090"/>
  <c r="C26" i="1090"/>
  <c r="C20" i="1090"/>
  <c r="C8" i="1090"/>
  <c r="C36" i="1090" s="1"/>
  <c r="C41" i="1090" s="1"/>
  <c r="C51" i="1089"/>
  <c r="C45" i="1089"/>
  <c r="C57" i="1089" s="1"/>
  <c r="C37" i="1089"/>
  <c r="C30" i="1089"/>
  <c r="C26" i="1089"/>
  <c r="C20" i="1089"/>
  <c r="C8" i="1089"/>
  <c r="C36" i="1089" s="1"/>
  <c r="C41" i="1089" s="1"/>
  <c r="C1" i="1089"/>
  <c r="C51" i="1088"/>
  <c r="C45" i="1088"/>
  <c r="C57" i="1088" s="1"/>
  <c r="C37" i="1088"/>
  <c r="C30" i="1088"/>
  <c r="C26" i="1088"/>
  <c r="C20" i="1088"/>
  <c r="C9" i="1088"/>
  <c r="C8" i="1088" s="1"/>
  <c r="C36" i="1088" s="1"/>
  <c r="C41" i="1088" s="1"/>
  <c r="C51" i="1087"/>
  <c r="C45" i="1087"/>
  <c r="C57" i="1087" s="1"/>
  <c r="C37" i="1087"/>
  <c r="C30" i="1087"/>
  <c r="C26" i="1087"/>
  <c r="C20" i="1087"/>
  <c r="C9" i="1087"/>
  <c r="C8" i="1087"/>
  <c r="C36" i="1087" s="1"/>
  <c r="C41" i="1087" s="1"/>
  <c r="C51" i="1086"/>
  <c r="C45" i="1086"/>
  <c r="C57" i="1086" s="1"/>
  <c r="C37" i="1086"/>
  <c r="C30" i="1086"/>
  <c r="C26" i="1086"/>
  <c r="C20" i="1086"/>
  <c r="C8" i="1086"/>
  <c r="C36" i="1086" s="1"/>
  <c r="C41" i="1086" s="1"/>
  <c r="C1" i="1086"/>
  <c r="C51" i="1085"/>
  <c r="C45" i="1085"/>
  <c r="C57" i="1085" s="1"/>
  <c r="C37" i="1085"/>
  <c r="C30" i="1085"/>
  <c r="C26" i="1085"/>
  <c r="C20" i="1085"/>
  <c r="C8" i="1085"/>
  <c r="C36" i="1085" s="1"/>
  <c r="C41" i="1085" s="1"/>
  <c r="C51" i="1084"/>
  <c r="C45" i="1084"/>
  <c r="C57" i="1084" s="1"/>
  <c r="C37" i="1084"/>
  <c r="C30" i="1084"/>
  <c r="C26" i="1084"/>
  <c r="C20" i="1084"/>
  <c r="C8" i="1084"/>
  <c r="C36" i="1084" s="1"/>
  <c r="C41" i="1084" s="1"/>
  <c r="C14" i="1057"/>
  <c r="C10" i="1057"/>
  <c r="E9" i="1056"/>
  <c r="E10" i="1056"/>
  <c r="E11" i="1056"/>
  <c r="E12" i="1056"/>
  <c r="E13" i="1056"/>
  <c r="E14" i="1056"/>
  <c r="E15" i="1056"/>
  <c r="E16" i="1056"/>
  <c r="E17" i="1056"/>
  <c r="E18" i="1056"/>
  <c r="E19" i="1056"/>
  <c r="E20" i="1056"/>
  <c r="E21" i="1056"/>
  <c r="E22" i="1056"/>
  <c r="E23" i="1056"/>
  <c r="E24" i="1056"/>
  <c r="E25" i="1056"/>
  <c r="E26" i="1056"/>
  <c r="E27" i="1056"/>
  <c r="E28" i="1056"/>
  <c r="E29" i="1056"/>
  <c r="E30" i="1056"/>
  <c r="E31" i="1056"/>
  <c r="E32" i="1056"/>
  <c r="E33" i="1056"/>
  <c r="E34" i="1056"/>
  <c r="E35" i="1056"/>
  <c r="E36" i="1056"/>
  <c r="E39" i="1056"/>
  <c r="E40" i="1056"/>
  <c r="E41" i="1056"/>
  <c r="E43" i="1056"/>
  <c r="E44" i="1056"/>
  <c r="E45" i="1056"/>
  <c r="E46" i="1056"/>
  <c r="E47" i="1056"/>
  <c r="E48" i="1056"/>
  <c r="E49" i="1056"/>
  <c r="E50" i="1056"/>
  <c r="E51" i="1056"/>
  <c r="E52" i="1056"/>
  <c r="E53" i="1056"/>
  <c r="E54" i="1056"/>
  <c r="E55" i="1056"/>
  <c r="E56" i="1056"/>
  <c r="E57" i="1056"/>
  <c r="E58" i="1056"/>
  <c r="E59" i="1056"/>
  <c r="E60" i="1056"/>
  <c r="E61" i="1056"/>
  <c r="C38" i="1082"/>
  <c r="C44" i="1082"/>
  <c r="B5" i="1051"/>
  <c r="B17" i="1050"/>
  <c r="D17" i="1050"/>
  <c r="D51" i="1083"/>
  <c r="D44" i="1083"/>
  <c r="C44" i="1083"/>
  <c r="B44" i="1083"/>
  <c r="E43" i="1083"/>
  <c r="E42" i="1083"/>
  <c r="E41" i="1083"/>
  <c r="E40" i="1083"/>
  <c r="E39" i="1083"/>
  <c r="E38" i="1083"/>
  <c r="E37" i="1083"/>
  <c r="E44" i="1083" s="1"/>
  <c r="D34" i="1083"/>
  <c r="C34" i="1083"/>
  <c r="B34" i="1083"/>
  <c r="E33" i="1083"/>
  <c r="E32" i="1083"/>
  <c r="E31" i="1083"/>
  <c r="E30" i="1083"/>
  <c r="E29" i="1083"/>
  <c r="E28" i="1083"/>
  <c r="E27" i="1083"/>
  <c r="E34" i="1083" s="1"/>
  <c r="D22" i="1083"/>
  <c r="E21" i="1083"/>
  <c r="E20" i="1083"/>
  <c r="E19" i="1083"/>
  <c r="E18" i="1083"/>
  <c r="E17" i="1083"/>
  <c r="C16" i="1083"/>
  <c r="C22" i="1083" s="1"/>
  <c r="B16" i="1083"/>
  <c r="B22" i="1083" s="1"/>
  <c r="E15" i="1083"/>
  <c r="D12" i="1083"/>
  <c r="C12" i="1083"/>
  <c r="B12" i="1083"/>
  <c r="E11" i="1083"/>
  <c r="E10" i="1083"/>
  <c r="E9" i="1083"/>
  <c r="E8" i="1083"/>
  <c r="E7" i="1083"/>
  <c r="E6" i="1083"/>
  <c r="E5" i="1083"/>
  <c r="E12" i="1083" s="1"/>
  <c r="E32" i="1051"/>
  <c r="B32" i="1051"/>
  <c r="F14" i="1051"/>
  <c r="D51" i="1082"/>
  <c r="D44" i="1082"/>
  <c r="B44" i="1082"/>
  <c r="E43" i="1082"/>
  <c r="E42" i="1082"/>
  <c r="E41" i="1082"/>
  <c r="E40" i="1082"/>
  <c r="E39" i="1082"/>
  <c r="E38" i="1082"/>
  <c r="E37" i="1082"/>
  <c r="D34" i="1082"/>
  <c r="C34" i="1082"/>
  <c r="B34" i="1082"/>
  <c r="E33" i="1082"/>
  <c r="E32" i="1082"/>
  <c r="E31" i="1082"/>
  <c r="E30" i="1082"/>
  <c r="E29" i="1082"/>
  <c r="E28" i="1082"/>
  <c r="E27" i="1082"/>
  <c r="E34" i="1082" s="1"/>
  <c r="D22" i="1082"/>
  <c r="C22" i="1082"/>
  <c r="B22" i="1082"/>
  <c r="E21" i="1082"/>
  <c r="E20" i="1082"/>
  <c r="E19" i="1082"/>
  <c r="E18" i="1082"/>
  <c r="E17" i="1082"/>
  <c r="E16" i="1082"/>
  <c r="E15" i="1082"/>
  <c r="E22" i="1082" s="1"/>
  <c r="D12" i="1082"/>
  <c r="C12" i="1082"/>
  <c r="B12" i="1082"/>
  <c r="E11" i="1082"/>
  <c r="E10" i="1082"/>
  <c r="E9" i="1082"/>
  <c r="E8" i="1082"/>
  <c r="E7" i="1082"/>
  <c r="E6" i="1082"/>
  <c r="E5" i="1082"/>
  <c r="E12" i="1082" s="1"/>
  <c r="D51" i="1081"/>
  <c r="D44" i="1081"/>
  <c r="C44" i="1081"/>
  <c r="B44" i="1081"/>
  <c r="E43" i="1081"/>
  <c r="E42" i="1081"/>
  <c r="E41" i="1081"/>
  <c r="E40" i="1081"/>
  <c r="E39" i="1081"/>
  <c r="E38" i="1081"/>
  <c r="E37" i="1081"/>
  <c r="D34" i="1081"/>
  <c r="C34" i="1081"/>
  <c r="B34" i="1081"/>
  <c r="E33" i="1081"/>
  <c r="E32" i="1081"/>
  <c r="E31" i="1081"/>
  <c r="E30" i="1081"/>
  <c r="E29" i="1081"/>
  <c r="E28" i="1081"/>
  <c r="E27" i="1081"/>
  <c r="E34" i="1081" s="1"/>
  <c r="D22" i="1081"/>
  <c r="C22" i="1081"/>
  <c r="B22" i="1081"/>
  <c r="E21" i="1081"/>
  <c r="E20" i="1081"/>
  <c r="E19" i="1081"/>
  <c r="E18" i="1081"/>
  <c r="E17" i="1081"/>
  <c r="E16" i="1081"/>
  <c r="E15" i="1081"/>
  <c r="D12" i="1081"/>
  <c r="C12" i="1081"/>
  <c r="B12" i="1081"/>
  <c r="E11" i="1081"/>
  <c r="E10" i="1081"/>
  <c r="E9" i="1081"/>
  <c r="E8" i="1081"/>
  <c r="E7" i="1081"/>
  <c r="E6" i="1081"/>
  <c r="E5" i="1081"/>
  <c r="E12" i="1081" s="1"/>
  <c r="C9" i="1049"/>
  <c r="B30" i="1075"/>
  <c r="C13" i="1054"/>
  <c r="C13" i="1053"/>
  <c r="D10" i="1044"/>
  <c r="D10" i="1043"/>
  <c r="I18" i="1075"/>
  <c r="C96" i="1054"/>
  <c r="C96" i="1053"/>
  <c r="D96" i="1044"/>
  <c r="D96" i="1043"/>
  <c r="C44" i="1075"/>
  <c r="C27" i="1054"/>
  <c r="C27" i="1053"/>
  <c r="D25" i="1044"/>
  <c r="D24" i="1044"/>
  <c r="D25" i="1043"/>
  <c r="D24" i="1043"/>
  <c r="J64" i="1078" l="1"/>
  <c r="J89" i="1078" s="1"/>
  <c r="I28" i="1078"/>
  <c r="H28" i="1078" s="1"/>
  <c r="I88" i="1078"/>
  <c r="K88" i="1078"/>
  <c r="I95" i="1078"/>
  <c r="I130" i="1078" s="1"/>
  <c r="H130" i="1078" s="1"/>
  <c r="H96" i="1078"/>
  <c r="J95" i="1078"/>
  <c r="J130" i="1078" s="1"/>
  <c r="K89" i="1078"/>
  <c r="I156" i="1078"/>
  <c r="J156" i="1078"/>
  <c r="H155" i="1078"/>
  <c r="H95" i="1078"/>
  <c r="H88" i="1078"/>
  <c r="H7" i="1078"/>
  <c r="I36" i="1078"/>
  <c r="H36" i="1078" s="1"/>
  <c r="I54" i="1078"/>
  <c r="H54" i="1078" s="1"/>
  <c r="H65" i="1078"/>
  <c r="E44" i="1082"/>
  <c r="E22" i="1083"/>
  <c r="E16" i="1083"/>
  <c r="E44" i="1081"/>
  <c r="E22" i="1081"/>
  <c r="H156" i="1078" l="1"/>
  <c r="I64" i="1078"/>
  <c r="I89" i="1078" l="1"/>
  <c r="H89" i="1078" s="1"/>
  <c r="H64" i="1078"/>
  <c r="E79" i="1050" l="1"/>
  <c r="D79" i="1050"/>
  <c r="B79" i="1050"/>
  <c r="F78" i="1050"/>
  <c r="F75" i="1050"/>
  <c r="F73" i="1050"/>
  <c r="F69" i="1050"/>
  <c r="F68" i="1050"/>
  <c r="F67" i="1050"/>
  <c r="F66" i="1050"/>
  <c r="F65" i="1050"/>
  <c r="F64" i="1050"/>
  <c r="F63" i="1050"/>
  <c r="F62" i="1050"/>
  <c r="F61" i="1050"/>
  <c r="F60" i="1050"/>
  <c r="F57" i="1050"/>
  <c r="F56" i="1050"/>
  <c r="F55" i="1050"/>
  <c r="F54" i="1050"/>
  <c r="F53" i="1050"/>
  <c r="F52" i="1050"/>
  <c r="F51" i="1050"/>
  <c r="F50" i="1050"/>
  <c r="F49" i="1050"/>
  <c r="F48" i="1050"/>
  <c r="F47" i="1050"/>
  <c r="F46" i="1050"/>
  <c r="F45" i="1050"/>
  <c r="F44" i="1050"/>
  <c r="F43" i="1050"/>
  <c r="F42" i="1050"/>
  <c r="F41" i="1050"/>
  <c r="F40" i="1050"/>
  <c r="F39" i="1050"/>
  <c r="F38" i="1050"/>
  <c r="F37" i="1050"/>
  <c r="F36" i="1050"/>
  <c r="F35" i="1050"/>
  <c r="F34" i="1050"/>
  <c r="F33" i="1050"/>
  <c r="F32" i="1050"/>
  <c r="F31" i="1050"/>
  <c r="F30" i="1050"/>
  <c r="F29" i="1050"/>
  <c r="F28" i="1050"/>
  <c r="F27" i="1050"/>
  <c r="E30" i="1048" l="1"/>
  <c r="E29" i="1047"/>
  <c r="E11" i="1047"/>
  <c r="I47" i="1075" l="1"/>
  <c r="I35" i="1075"/>
  <c r="I32" i="1075"/>
  <c r="L32" i="1075"/>
  <c r="B29" i="1075"/>
  <c r="B27" i="1075"/>
  <c r="I27" i="1075"/>
  <c r="I43" i="1075"/>
  <c r="D21" i="1075"/>
  <c r="B45" i="1075"/>
  <c r="I44" i="1075"/>
  <c r="J45" i="1075"/>
  <c r="J44" i="1075"/>
  <c r="C115" i="1055"/>
  <c r="C110" i="1055"/>
  <c r="C98" i="1055"/>
  <c r="C96" i="1055"/>
  <c r="C95" i="1055"/>
  <c r="C94" i="1055"/>
  <c r="C57" i="1055"/>
  <c r="C20" i="1055"/>
  <c r="C117" i="1054"/>
  <c r="C116" i="1054"/>
  <c r="C115" i="1054"/>
  <c r="C110" i="1054"/>
  <c r="C98" i="1054"/>
  <c r="C97" i="1054"/>
  <c r="C95" i="1054"/>
  <c r="C94" i="1054"/>
  <c r="C43" i="1054"/>
  <c r="C40" i="1054"/>
  <c r="C39" i="1054"/>
  <c r="C20" i="1054"/>
  <c r="C11" i="1054"/>
  <c r="C130" i="1053"/>
  <c r="C117" i="1053"/>
  <c r="C116" i="1053"/>
  <c r="C115" i="1053"/>
  <c r="C110" i="1053"/>
  <c r="C98" i="1053"/>
  <c r="C97" i="1053"/>
  <c r="C95" i="1053"/>
  <c r="C94" i="1053"/>
  <c r="C57" i="1053"/>
  <c r="C48" i="1053"/>
  <c r="C43" i="1053"/>
  <c r="C40" i="1053"/>
  <c r="C39" i="1053"/>
  <c r="C36" i="1053"/>
  <c r="C35" i="1053"/>
  <c r="C31" i="1053"/>
  <c r="C20" i="1053"/>
  <c r="C12" i="1053"/>
  <c r="C11" i="1053"/>
  <c r="F62" i="1043"/>
  <c r="F5" i="1043"/>
  <c r="F12" i="1043"/>
  <c r="F19" i="1043"/>
  <c r="F26" i="1043"/>
  <c r="F34" i="1043"/>
  <c r="F46" i="1043"/>
  <c r="F52" i="1043"/>
  <c r="F57" i="1043"/>
  <c r="F63" i="1043"/>
  <c r="F67" i="1043"/>
  <c r="F72" i="1043"/>
  <c r="F86" i="1043" s="1"/>
  <c r="F75" i="1043"/>
  <c r="F79" i="1043"/>
  <c r="F87" i="1043" l="1"/>
  <c r="D116" i="1043" l="1"/>
  <c r="D116" i="1044"/>
  <c r="D96" i="1045"/>
  <c r="D54" i="1045"/>
  <c r="C48" i="1044"/>
  <c r="D115" i="1045"/>
  <c r="D95" i="1045"/>
  <c r="D94" i="1045"/>
  <c r="D17" i="1045"/>
  <c r="D110" i="1045"/>
  <c r="D98" i="1045"/>
  <c r="D40" i="1044"/>
  <c r="D37" i="1044"/>
  <c r="D115" i="1044"/>
  <c r="D110" i="1044"/>
  <c r="D98" i="1044"/>
  <c r="D97" i="1044"/>
  <c r="D95" i="1044"/>
  <c r="D94" i="1044"/>
  <c r="D17" i="1044"/>
  <c r="D8" i="1044"/>
  <c r="D36" i="1044"/>
  <c r="D117" i="1044"/>
  <c r="C116" i="1044"/>
  <c r="C117" i="1044"/>
  <c r="C118" i="1044"/>
  <c r="D111" i="1043"/>
  <c r="D115" i="1043"/>
  <c r="D117" i="1043"/>
  <c r="D8" i="1043"/>
  <c r="D40" i="1043"/>
  <c r="D37" i="1043"/>
  <c r="D98" i="1043"/>
  <c r="D110" i="1043"/>
  <c r="D45" i="1043"/>
  <c r="D97" i="1043"/>
  <c r="D95" i="1043"/>
  <c r="D94" i="1043"/>
  <c r="D130" i="1043"/>
  <c r="D17" i="1043"/>
  <c r="D9" i="1043"/>
  <c r="D54" i="1043"/>
  <c r="D33" i="1043"/>
  <c r="D32" i="1043"/>
  <c r="D28" i="1043"/>
  <c r="D36" i="1043"/>
  <c r="C49" i="1057"/>
  <c r="C48" i="1057"/>
  <c r="C47" i="1057"/>
  <c r="E36" i="1044"/>
  <c r="E96" i="1044"/>
  <c r="E95" i="1044"/>
  <c r="E94" i="1044"/>
  <c r="E40" i="1044"/>
  <c r="E96" i="1043" l="1"/>
  <c r="C96" i="1043" s="1"/>
  <c r="E95" i="1043"/>
  <c r="E94" i="1043"/>
  <c r="E40" i="1043"/>
  <c r="C40" i="1043" s="1"/>
  <c r="E36" i="1043"/>
  <c r="C36" i="1043" s="1"/>
  <c r="C95" i="1043"/>
  <c r="C97" i="1043"/>
  <c r="C98" i="1043"/>
  <c r="C99" i="1043"/>
  <c r="C100" i="1043"/>
  <c r="C101" i="1043"/>
  <c r="C102" i="1043"/>
  <c r="C103" i="1043"/>
  <c r="C104" i="1043"/>
  <c r="C105" i="1043"/>
  <c r="C106" i="1043"/>
  <c r="C107" i="1043"/>
  <c r="C108" i="1043"/>
  <c r="C109" i="1043"/>
  <c r="C110" i="1043"/>
  <c r="C111" i="1043"/>
  <c r="C112" i="1043"/>
  <c r="C113" i="1043"/>
  <c r="C115" i="1043"/>
  <c r="C116" i="1043"/>
  <c r="C117" i="1043"/>
  <c r="C118" i="1043"/>
  <c r="C119" i="1043"/>
  <c r="C120" i="1043"/>
  <c r="C121" i="1043"/>
  <c r="C122" i="1043"/>
  <c r="C123" i="1043"/>
  <c r="C124" i="1043"/>
  <c r="C125" i="1043"/>
  <c r="C126" i="1043"/>
  <c r="C127" i="1043"/>
  <c r="C130" i="1043"/>
  <c r="C131" i="1043"/>
  <c r="C132" i="1043"/>
  <c r="C133" i="1043"/>
  <c r="C134" i="1043"/>
  <c r="C135" i="1043"/>
  <c r="C136" i="1043"/>
  <c r="C137" i="1043"/>
  <c r="C138" i="1043"/>
  <c r="C139" i="1043"/>
  <c r="C141" i="1043"/>
  <c r="C142" i="1043"/>
  <c r="C143" i="1043"/>
  <c r="C144" i="1043"/>
  <c r="C145" i="1043"/>
  <c r="C146" i="1043"/>
  <c r="C147" i="1043"/>
  <c r="C148" i="1043"/>
  <c r="C149" i="1043"/>
  <c r="C150" i="1043"/>
  <c r="C151" i="1043"/>
  <c r="C152" i="1043"/>
  <c r="C94" i="1043"/>
  <c r="C6" i="1043"/>
  <c r="C7" i="1043"/>
  <c r="C8" i="1043"/>
  <c r="C9" i="1043"/>
  <c r="C10" i="1043"/>
  <c r="C13" i="1043"/>
  <c r="C14" i="1043"/>
  <c r="C15" i="1043"/>
  <c r="C16" i="1043"/>
  <c r="C17" i="1043"/>
  <c r="C18" i="1043"/>
  <c r="C20" i="1043"/>
  <c r="C21" i="1043"/>
  <c r="C22" i="1043"/>
  <c r="C23" i="1043"/>
  <c r="C24" i="1043"/>
  <c r="C25" i="1043"/>
  <c r="C28" i="1043"/>
  <c r="C29" i="1043"/>
  <c r="C30" i="1043"/>
  <c r="C31" i="1043"/>
  <c r="C32" i="1043"/>
  <c r="C33" i="1043"/>
  <c r="C35" i="1043"/>
  <c r="C37" i="1043"/>
  <c r="C38" i="1043"/>
  <c r="C39" i="1043"/>
  <c r="C41" i="1043"/>
  <c r="C42" i="1043"/>
  <c r="C43" i="1043"/>
  <c r="C44" i="1043"/>
  <c r="C45" i="1043"/>
  <c r="C47" i="1043"/>
  <c r="C48" i="1043"/>
  <c r="C49" i="1043"/>
  <c r="C50" i="1043"/>
  <c r="C51" i="1043"/>
  <c r="C53" i="1043"/>
  <c r="C54" i="1043"/>
  <c r="C55" i="1043"/>
  <c r="C56" i="1043"/>
  <c r="C57" i="1043"/>
  <c r="C58" i="1043"/>
  <c r="C59" i="1043"/>
  <c r="C60" i="1043"/>
  <c r="C61" i="1043"/>
  <c r="C64" i="1043"/>
  <c r="C65" i="1043"/>
  <c r="C66" i="1043"/>
  <c r="C67" i="1043"/>
  <c r="C68" i="1043"/>
  <c r="C69" i="1043"/>
  <c r="C70" i="1043"/>
  <c r="C71" i="1043"/>
  <c r="C73" i="1043"/>
  <c r="C74" i="1043"/>
  <c r="C75" i="1043"/>
  <c r="C76" i="1043"/>
  <c r="C77" i="1043"/>
  <c r="C78" i="1043"/>
  <c r="C79" i="1043"/>
  <c r="C80" i="1043"/>
  <c r="C81" i="1043"/>
  <c r="C82" i="1043"/>
  <c r="C83" i="1043"/>
  <c r="C84" i="1043"/>
  <c r="C85" i="1043"/>
  <c r="C11" i="743" l="1"/>
  <c r="C10" i="743" s="1"/>
  <c r="B28" i="1075"/>
  <c r="B37" i="1080"/>
  <c r="B36" i="1080"/>
  <c r="B26" i="1080"/>
  <c r="B18" i="1080"/>
  <c r="B21" i="1080" s="1"/>
  <c r="H93" i="1078"/>
  <c r="D93" i="1078"/>
  <c r="H92" i="1078"/>
  <c r="I16" i="1077" l="1"/>
  <c r="H16" i="1077"/>
  <c r="G16" i="1077"/>
  <c r="F16" i="1077"/>
  <c r="E16" i="1077"/>
  <c r="B16" i="1077"/>
  <c r="J15" i="1077"/>
  <c r="C15" i="1077" s="1"/>
  <c r="D15" i="1077" s="1"/>
  <c r="J14" i="1077"/>
  <c r="C14" i="1077"/>
  <c r="D14" i="1077" s="1"/>
  <c r="J13" i="1077"/>
  <c r="D13" i="1077"/>
  <c r="C13" i="1077"/>
  <c r="J12" i="1077"/>
  <c r="C12" i="1077" s="1"/>
  <c r="D12" i="1077" s="1"/>
  <c r="J11" i="1077"/>
  <c r="D11" i="1077"/>
  <c r="C11" i="1077"/>
  <c r="J10" i="1077"/>
  <c r="J16" i="1077" l="1"/>
  <c r="C10" i="1077"/>
  <c r="C16" i="1077" l="1"/>
  <c r="D10" i="1077"/>
  <c r="D16" i="1077" s="1"/>
  <c r="D27" i="1044" l="1"/>
  <c r="N53" i="1075" l="1"/>
  <c r="F52" i="1075"/>
  <c r="F54" i="1075" s="1"/>
  <c r="N51" i="1075"/>
  <c r="G51" i="1075"/>
  <c r="N50" i="1075"/>
  <c r="G50" i="1075"/>
  <c r="N49" i="1075"/>
  <c r="G49" i="1075"/>
  <c r="N48" i="1075"/>
  <c r="G48" i="1075"/>
  <c r="N47" i="1075"/>
  <c r="G47" i="1075"/>
  <c r="N46" i="1075"/>
  <c r="G46" i="1075"/>
  <c r="N45" i="1075"/>
  <c r="G45" i="1075"/>
  <c r="N44" i="1075"/>
  <c r="G44" i="1075"/>
  <c r="N43" i="1075"/>
  <c r="G43" i="1075"/>
  <c r="N42" i="1075"/>
  <c r="G42" i="1075"/>
  <c r="N41" i="1075"/>
  <c r="G41" i="1075"/>
  <c r="N40" i="1075"/>
  <c r="G40" i="1075"/>
  <c r="N39" i="1075"/>
  <c r="G39" i="1075"/>
  <c r="N38" i="1075"/>
  <c r="G38" i="1075"/>
  <c r="N37" i="1075"/>
  <c r="G37" i="1075"/>
  <c r="N36" i="1075"/>
  <c r="G36" i="1075"/>
  <c r="N35" i="1075"/>
  <c r="G35" i="1075"/>
  <c r="N34" i="1075"/>
  <c r="G34" i="1075"/>
  <c r="N33" i="1075"/>
  <c r="G33" i="1075"/>
  <c r="N32" i="1075"/>
  <c r="G32" i="1075"/>
  <c r="G31" i="1075"/>
  <c r="N30" i="1075"/>
  <c r="G30" i="1075"/>
  <c r="N29" i="1075"/>
  <c r="G29" i="1075"/>
  <c r="M28" i="1075"/>
  <c r="M52" i="1075" s="1"/>
  <c r="M54" i="1075" s="1"/>
  <c r="L28" i="1075"/>
  <c r="L52" i="1075" s="1"/>
  <c r="L54" i="1075" s="1"/>
  <c r="K28" i="1075"/>
  <c r="J28" i="1075"/>
  <c r="I28" i="1075"/>
  <c r="I52" i="1075" s="1"/>
  <c r="I54" i="1075" s="1"/>
  <c r="F28" i="1075"/>
  <c r="E28" i="1075"/>
  <c r="E52" i="1075" s="1"/>
  <c r="E54" i="1075" s="1"/>
  <c r="D28" i="1075"/>
  <c r="C28" i="1075"/>
  <c r="N27" i="1075"/>
  <c r="G27" i="1075"/>
  <c r="N26" i="1075"/>
  <c r="G26" i="1075"/>
  <c r="N25" i="1075"/>
  <c r="G25" i="1075"/>
  <c r="N24" i="1075"/>
  <c r="G24" i="1075"/>
  <c r="N23" i="1075"/>
  <c r="G23" i="1075"/>
  <c r="N22" i="1075"/>
  <c r="G22" i="1075"/>
  <c r="N21" i="1075"/>
  <c r="G21" i="1075"/>
  <c r="G20" i="1075" s="1"/>
  <c r="N20" i="1075"/>
  <c r="K20" i="1075"/>
  <c r="K52" i="1075" s="1"/>
  <c r="K54" i="1075" s="1"/>
  <c r="D20" i="1075"/>
  <c r="D52" i="1075" s="1"/>
  <c r="D54" i="1075" s="1"/>
  <c r="C20" i="1075"/>
  <c r="B20" i="1075"/>
  <c r="N19" i="1075"/>
  <c r="G19" i="1075"/>
  <c r="N18" i="1075"/>
  <c r="G18" i="1075"/>
  <c r="N17" i="1075"/>
  <c r="G17" i="1075"/>
  <c r="N16" i="1075"/>
  <c r="G16" i="1075"/>
  <c r="N15" i="1075"/>
  <c r="G15" i="1075"/>
  <c r="N14" i="1075"/>
  <c r="G14" i="1075"/>
  <c r="N13" i="1075"/>
  <c r="H13" i="1075"/>
  <c r="H52" i="1075" s="1"/>
  <c r="H54" i="1075" s="1"/>
  <c r="G13" i="1075"/>
  <c r="N12" i="1075"/>
  <c r="G12" i="1075"/>
  <c r="C12" i="1075"/>
  <c r="N11" i="1075"/>
  <c r="G11" i="1075"/>
  <c r="N10" i="1075"/>
  <c r="G10" i="1075"/>
  <c r="G9" i="1075"/>
  <c r="D29" i="1074"/>
  <c r="R26" i="1073"/>
  <c r="O25" i="1073"/>
  <c r="S25" i="1073" s="1"/>
  <c r="S24" i="1073"/>
  <c r="O24" i="1073"/>
  <c r="O23" i="1073"/>
  <c r="S23" i="1073" s="1"/>
  <c r="O22" i="1073"/>
  <c r="S22" i="1073" s="1"/>
  <c r="O21" i="1073"/>
  <c r="S21" i="1073" s="1"/>
  <c r="O20" i="1073"/>
  <c r="S20" i="1073" s="1"/>
  <c r="O19" i="1073"/>
  <c r="S19" i="1073" s="1"/>
  <c r="O18" i="1073"/>
  <c r="S18" i="1073" s="1"/>
  <c r="D26" i="1073"/>
  <c r="C26" i="1073"/>
  <c r="N26" i="1073"/>
  <c r="M26" i="1073"/>
  <c r="L26" i="1073"/>
  <c r="K26" i="1073"/>
  <c r="J26" i="1073"/>
  <c r="I26" i="1073"/>
  <c r="H26" i="1073"/>
  <c r="G26" i="1073"/>
  <c r="F26" i="1073"/>
  <c r="E26" i="1073"/>
  <c r="S15" i="1073"/>
  <c r="R14" i="1073"/>
  <c r="D14" i="1073"/>
  <c r="O13" i="1073"/>
  <c r="S13" i="1073" s="1"/>
  <c r="O12" i="1073"/>
  <c r="S12" i="1073" s="1"/>
  <c r="L14" i="1073"/>
  <c r="O10" i="1073"/>
  <c r="S10" i="1073" s="1"/>
  <c r="O9" i="1073"/>
  <c r="S9" i="1073" s="1"/>
  <c r="H14" i="1073"/>
  <c r="H27" i="1073" s="1"/>
  <c r="O7" i="1073"/>
  <c r="S7" i="1073" s="1"/>
  <c r="N14" i="1073"/>
  <c r="N27" i="1073" s="1"/>
  <c r="M14" i="1073"/>
  <c r="M27" i="1073" s="1"/>
  <c r="K14" i="1073"/>
  <c r="J14" i="1073"/>
  <c r="I14" i="1073"/>
  <c r="G14" i="1073"/>
  <c r="G27" i="1073" s="1"/>
  <c r="F14" i="1073"/>
  <c r="F27" i="1073" s="1"/>
  <c r="E14" i="1073"/>
  <c r="E27" i="1073" s="1"/>
  <c r="C14" i="1073"/>
  <c r="D28" i="1071"/>
  <c r="C52" i="1058"/>
  <c r="C46" i="1058"/>
  <c r="C38" i="1058"/>
  <c r="C31" i="1058"/>
  <c r="C26" i="1058"/>
  <c r="C20" i="1058"/>
  <c r="C8" i="1058"/>
  <c r="C37" i="1058" s="1"/>
  <c r="C42" i="1058" s="1"/>
  <c r="C52" i="1057"/>
  <c r="C46" i="1057"/>
  <c r="C58" i="1057" s="1"/>
  <c r="C38" i="1057"/>
  <c r="E38" i="1056" s="1"/>
  <c r="C31" i="1057"/>
  <c r="C26" i="1057"/>
  <c r="C20" i="1057"/>
  <c r="C8" i="1057"/>
  <c r="E8" i="1056" s="1"/>
  <c r="F61" i="1056"/>
  <c r="F60" i="1056"/>
  <c r="F57" i="1056"/>
  <c r="F56" i="1056"/>
  <c r="F55" i="1056"/>
  <c r="F54" i="1056"/>
  <c r="F53" i="1056"/>
  <c r="F51" i="1056"/>
  <c r="F50" i="1056"/>
  <c r="F49" i="1056"/>
  <c r="F48" i="1056"/>
  <c r="F47" i="1056"/>
  <c r="C46" i="1056"/>
  <c r="F41" i="1056"/>
  <c r="F40" i="1056"/>
  <c r="F39" i="1056"/>
  <c r="C38" i="1056"/>
  <c r="F36" i="1056"/>
  <c r="F35" i="1056"/>
  <c r="F34" i="1056"/>
  <c r="F33" i="1056"/>
  <c r="F32" i="1056"/>
  <c r="C31" i="1056"/>
  <c r="F31" i="1056" s="1"/>
  <c r="F30" i="1056"/>
  <c r="F29" i="1056"/>
  <c r="F28" i="1056"/>
  <c r="F27" i="1056"/>
  <c r="C26" i="1056"/>
  <c r="F26" i="1056" s="1"/>
  <c r="F25" i="1056"/>
  <c r="F24" i="1056"/>
  <c r="F23" i="1056"/>
  <c r="F22" i="1056"/>
  <c r="F21" i="1056"/>
  <c r="C20" i="1056"/>
  <c r="F19" i="1056"/>
  <c r="F18" i="1056"/>
  <c r="F17" i="1056"/>
  <c r="F16" i="1056"/>
  <c r="F15" i="1056"/>
  <c r="F14" i="1056"/>
  <c r="F13" i="1056"/>
  <c r="F12" i="1056"/>
  <c r="F11" i="1056"/>
  <c r="F10" i="1056"/>
  <c r="F9" i="1056"/>
  <c r="C8" i="1056"/>
  <c r="C37" i="1056" s="1"/>
  <c r="C146" i="1055"/>
  <c r="C140" i="1055"/>
  <c r="C133" i="1055"/>
  <c r="C129" i="1055"/>
  <c r="C154" i="1055" s="1"/>
  <c r="C114" i="1055"/>
  <c r="C93" i="1055"/>
  <c r="C82" i="1055"/>
  <c r="C78" i="1055"/>
  <c r="C75" i="1055"/>
  <c r="C70" i="1055"/>
  <c r="C66" i="1055"/>
  <c r="C89" i="1055" s="1"/>
  <c r="C60" i="1055"/>
  <c r="C55" i="1055"/>
  <c r="C49" i="1055"/>
  <c r="C37" i="1055"/>
  <c r="C30" i="1055"/>
  <c r="C29" i="1055" s="1"/>
  <c r="C22" i="1055"/>
  <c r="C15" i="1055"/>
  <c r="C8" i="1055"/>
  <c r="C146" i="1054"/>
  <c r="C140" i="1054"/>
  <c r="E140" i="1053" s="1"/>
  <c r="C133" i="1054"/>
  <c r="C129" i="1054"/>
  <c r="C154" i="1054" s="1"/>
  <c r="C114" i="1054"/>
  <c r="C111" i="1054"/>
  <c r="C93" i="1054" s="1"/>
  <c r="C82" i="1054"/>
  <c r="C78" i="1054"/>
  <c r="C75" i="1054"/>
  <c r="C70" i="1054"/>
  <c r="C66" i="1054"/>
  <c r="C89" i="1054" s="1"/>
  <c r="C60" i="1054"/>
  <c r="C55" i="1054"/>
  <c r="C49" i="1054"/>
  <c r="C37" i="1054"/>
  <c r="C30" i="1054"/>
  <c r="C29" i="1054" s="1"/>
  <c r="C22" i="1054"/>
  <c r="E22" i="1053" s="1"/>
  <c r="C15" i="1054"/>
  <c r="C8" i="1054"/>
  <c r="F8" i="1053" s="1"/>
  <c r="F158" i="1053"/>
  <c r="E158" i="1053"/>
  <c r="D158" i="1053"/>
  <c r="H158" i="1053" s="1"/>
  <c r="E157" i="1053"/>
  <c r="F157" i="1053" s="1"/>
  <c r="D157" i="1053"/>
  <c r="H157" i="1053" s="1"/>
  <c r="E156" i="1053"/>
  <c r="D156" i="1053"/>
  <c r="H156" i="1053" s="1"/>
  <c r="F153" i="1053"/>
  <c r="G153" i="1053" s="1"/>
  <c r="E153" i="1053"/>
  <c r="D153" i="1053"/>
  <c r="H153" i="1053" s="1"/>
  <c r="G152" i="1053"/>
  <c r="F152" i="1053"/>
  <c r="E152" i="1053"/>
  <c r="D152" i="1053"/>
  <c r="H152" i="1053" s="1"/>
  <c r="F151" i="1053"/>
  <c r="G151" i="1053" s="1"/>
  <c r="E151" i="1053"/>
  <c r="D151" i="1053"/>
  <c r="H151" i="1053" s="1"/>
  <c r="G150" i="1053"/>
  <c r="F150" i="1053"/>
  <c r="E150" i="1053"/>
  <c r="D150" i="1053"/>
  <c r="H150" i="1053" s="1"/>
  <c r="F149" i="1053"/>
  <c r="G149" i="1053" s="1"/>
  <c r="E149" i="1053"/>
  <c r="D149" i="1053"/>
  <c r="H149" i="1053" s="1"/>
  <c r="G148" i="1053"/>
  <c r="F148" i="1053"/>
  <c r="E148" i="1053"/>
  <c r="D148" i="1053"/>
  <c r="H148" i="1053" s="1"/>
  <c r="F147" i="1053"/>
  <c r="G147" i="1053" s="1"/>
  <c r="E147" i="1053"/>
  <c r="D147" i="1053"/>
  <c r="H147" i="1053" s="1"/>
  <c r="F146" i="1053"/>
  <c r="E146" i="1053"/>
  <c r="D146" i="1053"/>
  <c r="C146" i="1053"/>
  <c r="G146" i="1053" s="1"/>
  <c r="G145" i="1053"/>
  <c r="F145" i="1053"/>
  <c r="E145" i="1053"/>
  <c r="D145" i="1053"/>
  <c r="H145" i="1053" s="1"/>
  <c r="F144" i="1053"/>
  <c r="G144" i="1053" s="1"/>
  <c r="E144" i="1053"/>
  <c r="D144" i="1053"/>
  <c r="H144" i="1053" s="1"/>
  <c r="G143" i="1053"/>
  <c r="F143" i="1053"/>
  <c r="E143" i="1053"/>
  <c r="D143" i="1053"/>
  <c r="H143" i="1053" s="1"/>
  <c r="F142" i="1053"/>
  <c r="G142" i="1053" s="1"/>
  <c r="E142" i="1053"/>
  <c r="D142" i="1053"/>
  <c r="H142" i="1053" s="1"/>
  <c r="F141" i="1053"/>
  <c r="G141" i="1053" s="1"/>
  <c r="E141" i="1053"/>
  <c r="D141" i="1053"/>
  <c r="H141" i="1053" s="1"/>
  <c r="F140" i="1053"/>
  <c r="D140" i="1053"/>
  <c r="C140" i="1053"/>
  <c r="G139" i="1053"/>
  <c r="F139" i="1053"/>
  <c r="E139" i="1053"/>
  <c r="D139" i="1053"/>
  <c r="H139" i="1053" s="1"/>
  <c r="F138" i="1053"/>
  <c r="G138" i="1053" s="1"/>
  <c r="E138" i="1053"/>
  <c r="D138" i="1053"/>
  <c r="H138" i="1053" s="1"/>
  <c r="G137" i="1053"/>
  <c r="F137" i="1053"/>
  <c r="E137" i="1053"/>
  <c r="D137" i="1053"/>
  <c r="H137" i="1053" s="1"/>
  <c r="F136" i="1053"/>
  <c r="G136" i="1053" s="1"/>
  <c r="E136" i="1053"/>
  <c r="D136" i="1053"/>
  <c r="H136" i="1053" s="1"/>
  <c r="G135" i="1053"/>
  <c r="F135" i="1053"/>
  <c r="E135" i="1053"/>
  <c r="D135" i="1053"/>
  <c r="H135" i="1053" s="1"/>
  <c r="F134" i="1053"/>
  <c r="G134" i="1053" s="1"/>
  <c r="E134" i="1053"/>
  <c r="D134" i="1053"/>
  <c r="H134" i="1053" s="1"/>
  <c r="F133" i="1053"/>
  <c r="E133" i="1053"/>
  <c r="D133" i="1053"/>
  <c r="C133" i="1053"/>
  <c r="G133" i="1053" s="1"/>
  <c r="G132" i="1053"/>
  <c r="F132" i="1053"/>
  <c r="E132" i="1053"/>
  <c r="D132" i="1053"/>
  <c r="H132" i="1053" s="1"/>
  <c r="F131" i="1053"/>
  <c r="G131" i="1053" s="1"/>
  <c r="E131" i="1053"/>
  <c r="D131" i="1053"/>
  <c r="H131" i="1053" s="1"/>
  <c r="F130" i="1053"/>
  <c r="G130" i="1053" s="1"/>
  <c r="E130" i="1053"/>
  <c r="D130" i="1053"/>
  <c r="H130" i="1053" s="1"/>
  <c r="F129" i="1053"/>
  <c r="E129" i="1053"/>
  <c r="D129" i="1053"/>
  <c r="H129" i="1053" s="1"/>
  <c r="C129" i="1053"/>
  <c r="C154" i="1053" s="1"/>
  <c r="F127" i="1053"/>
  <c r="G127" i="1053" s="1"/>
  <c r="E127" i="1053"/>
  <c r="D127" i="1053"/>
  <c r="H127" i="1053" s="1"/>
  <c r="F126" i="1053"/>
  <c r="G126" i="1053" s="1"/>
  <c r="E126" i="1053"/>
  <c r="D126" i="1053"/>
  <c r="H126" i="1053" s="1"/>
  <c r="F125" i="1053"/>
  <c r="G125" i="1053" s="1"/>
  <c r="E125" i="1053"/>
  <c r="D125" i="1053"/>
  <c r="H125" i="1053" s="1"/>
  <c r="F124" i="1053"/>
  <c r="G124" i="1053" s="1"/>
  <c r="E124" i="1053"/>
  <c r="D124" i="1053"/>
  <c r="H124" i="1053" s="1"/>
  <c r="F123" i="1053"/>
  <c r="G123" i="1053" s="1"/>
  <c r="E123" i="1053"/>
  <c r="D123" i="1053"/>
  <c r="H123" i="1053" s="1"/>
  <c r="F122" i="1053"/>
  <c r="G122" i="1053" s="1"/>
  <c r="E122" i="1053"/>
  <c r="D122" i="1053"/>
  <c r="H122" i="1053" s="1"/>
  <c r="G121" i="1053"/>
  <c r="F121" i="1053"/>
  <c r="E121" i="1053"/>
  <c r="D121" i="1053"/>
  <c r="H121" i="1053" s="1"/>
  <c r="F120" i="1053"/>
  <c r="G120" i="1053" s="1"/>
  <c r="E120" i="1053"/>
  <c r="D120" i="1053"/>
  <c r="H120" i="1053" s="1"/>
  <c r="F119" i="1053"/>
  <c r="E119" i="1053"/>
  <c r="D119" i="1053"/>
  <c r="G119" i="1053"/>
  <c r="F118" i="1053"/>
  <c r="E118" i="1053"/>
  <c r="D118" i="1053"/>
  <c r="G118" i="1053"/>
  <c r="F117" i="1053"/>
  <c r="E117" i="1053"/>
  <c r="D117" i="1053"/>
  <c r="G117" i="1053"/>
  <c r="F116" i="1053"/>
  <c r="E116" i="1053"/>
  <c r="D116" i="1053"/>
  <c r="G116" i="1053"/>
  <c r="F115" i="1053"/>
  <c r="G115" i="1053" s="1"/>
  <c r="E115" i="1053"/>
  <c r="D115" i="1053"/>
  <c r="C114" i="1053"/>
  <c r="F113" i="1053"/>
  <c r="G113" i="1053" s="1"/>
  <c r="E113" i="1053"/>
  <c r="D113" i="1053"/>
  <c r="F112" i="1053"/>
  <c r="G112" i="1053" s="1"/>
  <c r="E112" i="1053"/>
  <c r="D112" i="1053"/>
  <c r="F111" i="1053"/>
  <c r="E111" i="1053"/>
  <c r="D111" i="1053"/>
  <c r="C111" i="1053"/>
  <c r="G111" i="1053" s="1"/>
  <c r="F110" i="1053"/>
  <c r="G110" i="1053" s="1"/>
  <c r="E110" i="1053"/>
  <c r="D110" i="1053"/>
  <c r="F109" i="1053"/>
  <c r="G109" i="1053" s="1"/>
  <c r="E109" i="1053"/>
  <c r="D109" i="1053"/>
  <c r="H109" i="1053" s="1"/>
  <c r="F108" i="1053"/>
  <c r="G108" i="1053" s="1"/>
  <c r="E108" i="1053"/>
  <c r="D108" i="1053"/>
  <c r="H108" i="1053" s="1"/>
  <c r="G107" i="1053"/>
  <c r="F107" i="1053"/>
  <c r="E107" i="1053"/>
  <c r="D107" i="1053"/>
  <c r="H107" i="1053" s="1"/>
  <c r="F106" i="1053"/>
  <c r="G106" i="1053" s="1"/>
  <c r="E106" i="1053"/>
  <c r="D106" i="1053"/>
  <c r="H106" i="1053" s="1"/>
  <c r="F105" i="1053"/>
  <c r="E105" i="1053"/>
  <c r="D105" i="1053"/>
  <c r="G105" i="1053"/>
  <c r="F104" i="1053"/>
  <c r="G104" i="1053" s="1"/>
  <c r="E104" i="1053"/>
  <c r="D104" i="1053"/>
  <c r="H104" i="1053" s="1"/>
  <c r="F103" i="1053"/>
  <c r="G103" i="1053" s="1"/>
  <c r="E103" i="1053"/>
  <c r="D103" i="1053"/>
  <c r="H103" i="1053" s="1"/>
  <c r="F102" i="1053"/>
  <c r="G102" i="1053" s="1"/>
  <c r="E102" i="1053"/>
  <c r="D102" i="1053"/>
  <c r="H102" i="1053" s="1"/>
  <c r="F101" i="1053"/>
  <c r="G101" i="1053" s="1"/>
  <c r="E101" i="1053"/>
  <c r="D101" i="1053"/>
  <c r="H101" i="1053" s="1"/>
  <c r="F100" i="1053"/>
  <c r="G100" i="1053" s="1"/>
  <c r="E100" i="1053"/>
  <c r="D100" i="1053"/>
  <c r="H100" i="1053" s="1"/>
  <c r="F99" i="1053"/>
  <c r="G99" i="1053" s="1"/>
  <c r="E99" i="1053"/>
  <c r="D99" i="1053"/>
  <c r="H99" i="1053" s="1"/>
  <c r="F98" i="1053"/>
  <c r="E98" i="1053"/>
  <c r="D98" i="1053"/>
  <c r="F97" i="1053"/>
  <c r="G97" i="1053" s="1"/>
  <c r="E97" i="1053"/>
  <c r="D97" i="1053"/>
  <c r="H97" i="1053" s="1"/>
  <c r="F96" i="1053"/>
  <c r="G96" i="1053" s="1"/>
  <c r="E96" i="1053"/>
  <c r="D96" i="1053"/>
  <c r="H96" i="1053" s="1"/>
  <c r="F95" i="1053"/>
  <c r="G95" i="1053" s="1"/>
  <c r="E95" i="1053"/>
  <c r="D95" i="1053"/>
  <c r="H95" i="1053" s="1"/>
  <c r="F94" i="1053"/>
  <c r="G94" i="1053" s="1"/>
  <c r="E94" i="1053"/>
  <c r="D94" i="1053"/>
  <c r="H94" i="1053" s="1"/>
  <c r="E92" i="1053"/>
  <c r="D92" i="1053"/>
  <c r="H92" i="1053" s="1"/>
  <c r="E91" i="1053"/>
  <c r="D91" i="1053"/>
  <c r="H91" i="1053" s="1"/>
  <c r="F88" i="1053"/>
  <c r="G88" i="1053" s="1"/>
  <c r="E88" i="1053"/>
  <c r="D88" i="1053"/>
  <c r="H88" i="1053" s="1"/>
  <c r="G87" i="1053"/>
  <c r="F87" i="1053"/>
  <c r="E87" i="1053"/>
  <c r="D87" i="1053"/>
  <c r="H87" i="1053" s="1"/>
  <c r="F86" i="1053"/>
  <c r="G86" i="1053" s="1"/>
  <c r="E86" i="1053"/>
  <c r="D86" i="1053"/>
  <c r="H86" i="1053" s="1"/>
  <c r="G85" i="1053"/>
  <c r="F85" i="1053"/>
  <c r="E85" i="1053"/>
  <c r="D85" i="1053"/>
  <c r="H85" i="1053" s="1"/>
  <c r="F84" i="1053"/>
  <c r="G84" i="1053" s="1"/>
  <c r="E84" i="1053"/>
  <c r="D84" i="1053"/>
  <c r="H84" i="1053" s="1"/>
  <c r="G83" i="1053"/>
  <c r="F83" i="1053"/>
  <c r="E83" i="1053"/>
  <c r="D83" i="1053"/>
  <c r="H83" i="1053" s="1"/>
  <c r="F82" i="1053"/>
  <c r="E82" i="1053"/>
  <c r="D82" i="1053"/>
  <c r="H82" i="1053" s="1"/>
  <c r="C82" i="1053"/>
  <c r="G82" i="1053" s="1"/>
  <c r="F81" i="1053"/>
  <c r="G81" i="1053" s="1"/>
  <c r="E81" i="1053"/>
  <c r="D81" i="1053"/>
  <c r="H81" i="1053" s="1"/>
  <c r="G80" i="1053"/>
  <c r="F80" i="1053"/>
  <c r="E80" i="1053"/>
  <c r="D80" i="1053"/>
  <c r="H80" i="1053" s="1"/>
  <c r="F79" i="1053"/>
  <c r="G79" i="1053" s="1"/>
  <c r="E79" i="1053"/>
  <c r="D79" i="1053"/>
  <c r="H79" i="1053" s="1"/>
  <c r="F78" i="1053"/>
  <c r="E78" i="1053"/>
  <c r="D78" i="1053"/>
  <c r="C78" i="1053"/>
  <c r="G78" i="1053" s="1"/>
  <c r="G77" i="1053"/>
  <c r="F77" i="1053"/>
  <c r="E77" i="1053"/>
  <c r="D77" i="1053"/>
  <c r="H77" i="1053" s="1"/>
  <c r="F76" i="1053"/>
  <c r="G76" i="1053" s="1"/>
  <c r="E76" i="1053"/>
  <c r="D76" i="1053"/>
  <c r="H76" i="1053" s="1"/>
  <c r="F75" i="1053"/>
  <c r="E75" i="1053"/>
  <c r="D75" i="1053"/>
  <c r="C75" i="1053"/>
  <c r="G74" i="1053"/>
  <c r="F74" i="1053"/>
  <c r="E74" i="1053"/>
  <c r="D74" i="1053"/>
  <c r="H74" i="1053" s="1"/>
  <c r="F73" i="1053"/>
  <c r="G73" i="1053" s="1"/>
  <c r="E73" i="1053"/>
  <c r="D73" i="1053"/>
  <c r="H73" i="1053" s="1"/>
  <c r="G72" i="1053"/>
  <c r="F72" i="1053"/>
  <c r="E72" i="1053"/>
  <c r="D72" i="1053"/>
  <c r="H72" i="1053" s="1"/>
  <c r="F71" i="1053"/>
  <c r="G71" i="1053" s="1"/>
  <c r="E71" i="1053"/>
  <c r="D71" i="1053"/>
  <c r="H71" i="1053" s="1"/>
  <c r="F70" i="1053"/>
  <c r="E70" i="1053"/>
  <c r="D70" i="1053"/>
  <c r="C70" i="1053"/>
  <c r="G70" i="1053" s="1"/>
  <c r="G69" i="1053"/>
  <c r="F69" i="1053"/>
  <c r="E69" i="1053"/>
  <c r="D69" i="1053"/>
  <c r="H69" i="1053" s="1"/>
  <c r="F68" i="1053"/>
  <c r="G68" i="1053" s="1"/>
  <c r="E68" i="1053"/>
  <c r="D68" i="1053"/>
  <c r="H68" i="1053" s="1"/>
  <c r="F67" i="1053"/>
  <c r="E67" i="1053"/>
  <c r="D67" i="1053"/>
  <c r="G67" i="1053"/>
  <c r="F66" i="1053"/>
  <c r="E66" i="1053"/>
  <c r="D66" i="1053"/>
  <c r="C66" i="1053"/>
  <c r="G66" i="1053" s="1"/>
  <c r="G64" i="1053"/>
  <c r="F64" i="1053"/>
  <c r="E64" i="1053"/>
  <c r="D64" i="1053"/>
  <c r="H64" i="1053" s="1"/>
  <c r="F63" i="1053"/>
  <c r="G63" i="1053" s="1"/>
  <c r="E63" i="1053"/>
  <c r="D63" i="1053"/>
  <c r="H63" i="1053" s="1"/>
  <c r="G62" i="1053"/>
  <c r="F62" i="1053"/>
  <c r="E62" i="1053"/>
  <c r="D62" i="1053"/>
  <c r="H62" i="1053" s="1"/>
  <c r="F61" i="1053"/>
  <c r="G61" i="1053" s="1"/>
  <c r="E61" i="1053"/>
  <c r="D61" i="1053"/>
  <c r="H61" i="1053" s="1"/>
  <c r="F60" i="1053"/>
  <c r="E60" i="1053"/>
  <c r="D60" i="1053"/>
  <c r="C60" i="1053"/>
  <c r="G60" i="1053" s="1"/>
  <c r="G59" i="1053"/>
  <c r="F59" i="1053"/>
  <c r="E59" i="1053"/>
  <c r="D59" i="1053"/>
  <c r="H59" i="1053" s="1"/>
  <c r="F58" i="1053"/>
  <c r="E58" i="1053"/>
  <c r="D58" i="1053"/>
  <c r="H58" i="1053" s="1"/>
  <c r="F57" i="1053"/>
  <c r="E57" i="1053"/>
  <c r="D57" i="1053"/>
  <c r="H57" i="1053" s="1"/>
  <c r="G57" i="1053"/>
  <c r="F56" i="1053"/>
  <c r="G56" i="1053" s="1"/>
  <c r="E56" i="1053"/>
  <c r="D56" i="1053"/>
  <c r="H56" i="1053" s="1"/>
  <c r="F55" i="1053"/>
  <c r="E55" i="1053"/>
  <c r="D55" i="1053"/>
  <c r="C55" i="1053"/>
  <c r="G54" i="1053"/>
  <c r="F54" i="1053"/>
  <c r="E54" i="1053"/>
  <c r="D54" i="1053"/>
  <c r="H54" i="1053" s="1"/>
  <c r="F53" i="1053"/>
  <c r="G53" i="1053" s="1"/>
  <c r="E53" i="1053"/>
  <c r="D53" i="1053"/>
  <c r="H53" i="1053" s="1"/>
  <c r="G52" i="1053"/>
  <c r="F52" i="1053"/>
  <c r="E52" i="1053"/>
  <c r="D52" i="1053"/>
  <c r="H52" i="1053" s="1"/>
  <c r="F51" i="1053"/>
  <c r="G51" i="1053" s="1"/>
  <c r="E51" i="1053"/>
  <c r="D51" i="1053"/>
  <c r="H51" i="1053" s="1"/>
  <c r="F50" i="1053"/>
  <c r="G50" i="1053" s="1"/>
  <c r="E50" i="1053"/>
  <c r="D50" i="1053"/>
  <c r="H50" i="1053" s="1"/>
  <c r="F49" i="1053"/>
  <c r="E49" i="1053"/>
  <c r="D49" i="1053"/>
  <c r="C49" i="1053"/>
  <c r="G49" i="1053" s="1"/>
  <c r="F48" i="1053"/>
  <c r="G48" i="1053" s="1"/>
  <c r="E48" i="1053"/>
  <c r="D48" i="1053"/>
  <c r="F47" i="1053"/>
  <c r="G47" i="1053" s="1"/>
  <c r="E47" i="1053"/>
  <c r="D47" i="1053"/>
  <c r="F46" i="1053"/>
  <c r="G46" i="1053" s="1"/>
  <c r="E46" i="1053"/>
  <c r="D46" i="1053"/>
  <c r="H46" i="1053" s="1"/>
  <c r="F45" i="1053"/>
  <c r="G45" i="1053" s="1"/>
  <c r="E45" i="1053"/>
  <c r="D45" i="1053"/>
  <c r="H45" i="1053" s="1"/>
  <c r="F44" i="1053"/>
  <c r="G44" i="1053" s="1"/>
  <c r="E44" i="1053"/>
  <c r="D44" i="1053"/>
  <c r="H44" i="1053" s="1"/>
  <c r="F43" i="1053"/>
  <c r="G43" i="1053" s="1"/>
  <c r="E43" i="1053"/>
  <c r="D43" i="1053"/>
  <c r="H43" i="1053" s="1"/>
  <c r="F42" i="1053"/>
  <c r="G42" i="1053" s="1"/>
  <c r="E42" i="1053"/>
  <c r="D42" i="1053"/>
  <c r="H42" i="1053" s="1"/>
  <c r="F41" i="1053"/>
  <c r="G41" i="1053" s="1"/>
  <c r="E41" i="1053"/>
  <c r="D41" i="1053"/>
  <c r="F40" i="1053"/>
  <c r="G40" i="1053" s="1"/>
  <c r="E40" i="1053"/>
  <c r="D40" i="1053"/>
  <c r="F39" i="1053"/>
  <c r="G39" i="1053" s="1"/>
  <c r="E39" i="1053"/>
  <c r="D39" i="1053"/>
  <c r="F38" i="1053"/>
  <c r="G38" i="1053" s="1"/>
  <c r="E38" i="1053"/>
  <c r="D38" i="1053"/>
  <c r="F37" i="1053"/>
  <c r="E37" i="1053"/>
  <c r="D37" i="1053"/>
  <c r="C37" i="1053"/>
  <c r="F36" i="1053"/>
  <c r="G36" i="1053" s="1"/>
  <c r="E36" i="1053"/>
  <c r="D36" i="1053"/>
  <c r="F35" i="1053"/>
  <c r="G35" i="1053" s="1"/>
  <c r="E35" i="1053"/>
  <c r="D35" i="1053"/>
  <c r="F34" i="1053"/>
  <c r="G34" i="1053" s="1"/>
  <c r="E34" i="1053"/>
  <c r="D34" i="1053"/>
  <c r="G33" i="1053"/>
  <c r="F33" i="1053"/>
  <c r="E33" i="1053"/>
  <c r="D33" i="1053"/>
  <c r="H33" i="1053" s="1"/>
  <c r="F32" i="1053"/>
  <c r="G32" i="1053" s="1"/>
  <c r="E32" i="1053"/>
  <c r="D32" i="1053"/>
  <c r="H32" i="1053" s="1"/>
  <c r="F31" i="1053"/>
  <c r="G31" i="1053" s="1"/>
  <c r="E31" i="1053"/>
  <c r="D31" i="1053"/>
  <c r="H31" i="1053" s="1"/>
  <c r="F30" i="1053"/>
  <c r="E30" i="1053"/>
  <c r="D30" i="1053"/>
  <c r="C30" i="1053"/>
  <c r="F29" i="1053"/>
  <c r="E29" i="1053"/>
  <c r="D29" i="1053"/>
  <c r="C29" i="1053"/>
  <c r="F28" i="1053"/>
  <c r="G28" i="1053" s="1"/>
  <c r="E28" i="1053"/>
  <c r="D28" i="1053"/>
  <c r="H28" i="1053" s="1"/>
  <c r="F27" i="1053"/>
  <c r="G27" i="1053" s="1"/>
  <c r="E27" i="1053"/>
  <c r="D27" i="1053"/>
  <c r="H27" i="1053" s="1"/>
  <c r="F26" i="1053"/>
  <c r="G26" i="1053" s="1"/>
  <c r="E26" i="1053"/>
  <c r="D26" i="1053"/>
  <c r="H26" i="1053" s="1"/>
  <c r="G25" i="1053"/>
  <c r="F25" i="1053"/>
  <c r="E25" i="1053"/>
  <c r="D25" i="1053"/>
  <c r="H25" i="1053" s="1"/>
  <c r="F24" i="1053"/>
  <c r="G24" i="1053" s="1"/>
  <c r="E24" i="1053"/>
  <c r="D24" i="1053"/>
  <c r="H24" i="1053" s="1"/>
  <c r="F23" i="1053"/>
  <c r="G23" i="1053" s="1"/>
  <c r="E23" i="1053"/>
  <c r="D23" i="1053"/>
  <c r="H23" i="1053" s="1"/>
  <c r="F22" i="1053"/>
  <c r="D22" i="1053"/>
  <c r="C22" i="1053"/>
  <c r="F21" i="1053"/>
  <c r="G21" i="1053" s="1"/>
  <c r="E21" i="1053"/>
  <c r="D21" i="1053"/>
  <c r="H21" i="1053" s="1"/>
  <c r="F20" i="1053"/>
  <c r="G20" i="1053" s="1"/>
  <c r="E20" i="1053"/>
  <c r="D20" i="1053"/>
  <c r="G19" i="1053"/>
  <c r="F19" i="1053"/>
  <c r="E19" i="1053"/>
  <c r="D19" i="1053"/>
  <c r="H19" i="1053" s="1"/>
  <c r="F18" i="1053"/>
  <c r="G18" i="1053" s="1"/>
  <c r="E18" i="1053"/>
  <c r="D18" i="1053"/>
  <c r="H18" i="1053" s="1"/>
  <c r="G17" i="1053"/>
  <c r="F17" i="1053"/>
  <c r="E17" i="1053"/>
  <c r="D17" i="1053"/>
  <c r="H17" i="1053" s="1"/>
  <c r="F16" i="1053"/>
  <c r="G16" i="1053" s="1"/>
  <c r="E16" i="1053"/>
  <c r="D16" i="1053"/>
  <c r="H16" i="1053" s="1"/>
  <c r="F15" i="1053"/>
  <c r="E15" i="1053"/>
  <c r="D15" i="1053"/>
  <c r="C15" i="1053"/>
  <c r="F14" i="1053"/>
  <c r="G14" i="1053" s="1"/>
  <c r="E14" i="1053"/>
  <c r="D14" i="1053"/>
  <c r="H14" i="1053" s="1"/>
  <c r="F13" i="1053"/>
  <c r="E13" i="1053"/>
  <c r="D13" i="1053"/>
  <c r="H13" i="1053" s="1"/>
  <c r="F12" i="1053"/>
  <c r="E12" i="1053"/>
  <c r="D12" i="1053"/>
  <c r="H12" i="1053" s="1"/>
  <c r="F11" i="1053"/>
  <c r="E11" i="1053"/>
  <c r="D11" i="1053"/>
  <c r="H11" i="1053" s="1"/>
  <c r="F10" i="1053"/>
  <c r="E10" i="1053"/>
  <c r="D10" i="1053"/>
  <c r="H10" i="1053" s="1"/>
  <c r="F9" i="1053"/>
  <c r="E9" i="1053"/>
  <c r="D9" i="1053"/>
  <c r="H9" i="1053" s="1"/>
  <c r="E8" i="1053"/>
  <c r="C8" i="1053"/>
  <c r="D51" i="1052"/>
  <c r="D44" i="1052"/>
  <c r="B44" i="1052"/>
  <c r="E43" i="1052"/>
  <c r="E42" i="1052"/>
  <c r="E41" i="1052"/>
  <c r="E40" i="1052"/>
  <c r="E39" i="1052"/>
  <c r="E38" i="1052"/>
  <c r="C44" i="1052"/>
  <c r="E37" i="1052"/>
  <c r="D34" i="1052"/>
  <c r="C34" i="1052"/>
  <c r="B34" i="1052"/>
  <c r="E33" i="1052"/>
  <c r="E32" i="1052"/>
  <c r="E31" i="1052"/>
  <c r="E30" i="1052"/>
  <c r="E29" i="1052"/>
  <c r="E28" i="1052"/>
  <c r="E27" i="1052"/>
  <c r="E34" i="1052" s="1"/>
  <c r="D22" i="1052"/>
  <c r="B22" i="1052"/>
  <c r="E21" i="1052"/>
  <c r="E20" i="1052"/>
  <c r="E19" i="1052"/>
  <c r="E18" i="1052"/>
  <c r="E17" i="1052"/>
  <c r="C22" i="1052"/>
  <c r="E15" i="1052"/>
  <c r="D12" i="1052"/>
  <c r="C12" i="1052"/>
  <c r="B12" i="1052"/>
  <c r="E11" i="1052"/>
  <c r="E10" i="1052"/>
  <c r="E9" i="1052"/>
  <c r="E8" i="1052"/>
  <c r="E7" i="1052"/>
  <c r="E6" i="1052"/>
  <c r="E5" i="1052"/>
  <c r="E12" i="1052" s="1"/>
  <c r="D32" i="1051"/>
  <c r="F31" i="1051"/>
  <c r="F30" i="1051"/>
  <c r="F29" i="1051"/>
  <c r="F28" i="1051"/>
  <c r="F27" i="1051"/>
  <c r="F26" i="1051"/>
  <c r="F25" i="1051"/>
  <c r="F24" i="1051"/>
  <c r="F23" i="1051"/>
  <c r="F22" i="1051"/>
  <c r="F21" i="1051"/>
  <c r="F20" i="1051"/>
  <c r="F19" i="1051"/>
  <c r="F18" i="1051"/>
  <c r="F17" i="1051"/>
  <c r="F16" i="1051"/>
  <c r="F15" i="1051"/>
  <c r="F13" i="1051"/>
  <c r="F12" i="1051"/>
  <c r="F11" i="1051"/>
  <c r="F10" i="1051"/>
  <c r="F9" i="1051"/>
  <c r="F8" i="1051"/>
  <c r="F7" i="1051"/>
  <c r="F6" i="1051"/>
  <c r="F26" i="1050"/>
  <c r="F25" i="1050"/>
  <c r="F24" i="1050"/>
  <c r="F23" i="1050"/>
  <c r="F22" i="1050"/>
  <c r="F21" i="1050"/>
  <c r="F20" i="1050"/>
  <c r="F19" i="1050"/>
  <c r="F18" i="1050"/>
  <c r="F17" i="1050"/>
  <c r="F79" i="1050" s="1"/>
  <c r="F16" i="1050"/>
  <c r="F15" i="1050"/>
  <c r="F14" i="1050"/>
  <c r="F13" i="1050"/>
  <c r="F12" i="1050"/>
  <c r="F11" i="1050"/>
  <c r="F10" i="1050"/>
  <c r="F9" i="1050"/>
  <c r="F8" i="1050"/>
  <c r="F7" i="1050"/>
  <c r="F6" i="1050"/>
  <c r="C12" i="1049"/>
  <c r="C24" i="1048"/>
  <c r="C18" i="1048"/>
  <c r="E17" i="1048"/>
  <c r="C17" i="1048"/>
  <c r="C24" i="1047"/>
  <c r="C19" i="1047"/>
  <c r="E18" i="1047"/>
  <c r="E30" i="1047" s="1"/>
  <c r="C18" i="1047"/>
  <c r="E31" i="1047" s="1"/>
  <c r="E4" i="1047"/>
  <c r="C145" i="1046"/>
  <c r="C140" i="1046"/>
  <c r="C133" i="1046"/>
  <c r="C129" i="1046"/>
  <c r="C153" i="1046" s="1"/>
  <c r="C114" i="1046"/>
  <c r="C93" i="1046"/>
  <c r="C128" i="1046" s="1"/>
  <c r="C154" i="1046" s="1"/>
  <c r="C91" i="1046"/>
  <c r="C79" i="1046"/>
  <c r="C75" i="1046"/>
  <c r="C72" i="1046"/>
  <c r="C67" i="1046"/>
  <c r="C63" i="1046"/>
  <c r="C57" i="1046"/>
  <c r="C52" i="1046"/>
  <c r="C46" i="1046"/>
  <c r="C34" i="1046"/>
  <c r="C27" i="1046"/>
  <c r="C26" i="1046"/>
  <c r="C19" i="1046"/>
  <c r="C12" i="1046"/>
  <c r="C5" i="1046"/>
  <c r="C152" i="1045"/>
  <c r="C151" i="1045"/>
  <c r="C150" i="1045"/>
  <c r="C149" i="1045"/>
  <c r="C148" i="1045"/>
  <c r="C147" i="1045"/>
  <c r="C146" i="1045"/>
  <c r="F145" i="1045"/>
  <c r="E145" i="1045"/>
  <c r="D145" i="1045"/>
  <c r="C145" i="1045"/>
  <c r="C144" i="1045"/>
  <c r="C143" i="1045"/>
  <c r="C142" i="1045"/>
  <c r="C141" i="1045"/>
  <c r="F140" i="1045"/>
  <c r="E140" i="1045"/>
  <c r="D140" i="1045"/>
  <c r="C140" i="1045"/>
  <c r="C139" i="1045"/>
  <c r="C138" i="1045"/>
  <c r="C137" i="1045"/>
  <c r="C136" i="1045"/>
  <c r="C135" i="1045"/>
  <c r="C134" i="1045"/>
  <c r="F133" i="1045"/>
  <c r="E133" i="1045"/>
  <c r="D133" i="1045"/>
  <c r="C133" i="1045"/>
  <c r="C132" i="1045"/>
  <c r="C131" i="1045"/>
  <c r="C130" i="1045"/>
  <c r="F129" i="1045"/>
  <c r="F153" i="1045" s="1"/>
  <c r="E129" i="1045"/>
  <c r="E153" i="1045" s="1"/>
  <c r="D129" i="1045"/>
  <c r="D153" i="1045" s="1"/>
  <c r="C153" i="1045" s="1"/>
  <c r="C127" i="1045"/>
  <c r="C126" i="1045"/>
  <c r="C125" i="1045"/>
  <c r="C124" i="1045"/>
  <c r="C123" i="1045"/>
  <c r="C122" i="1045"/>
  <c r="C121" i="1045"/>
  <c r="C120" i="1045"/>
  <c r="C119" i="1045"/>
  <c r="C118" i="1045"/>
  <c r="C117" i="1045"/>
  <c r="C116" i="1045"/>
  <c r="C115" i="1045"/>
  <c r="F114" i="1045"/>
  <c r="E114" i="1045"/>
  <c r="D114" i="1045"/>
  <c r="C114" i="1045" s="1"/>
  <c r="C113" i="1045"/>
  <c r="C112" i="1045"/>
  <c r="C111" i="1045"/>
  <c r="C110" i="1045"/>
  <c r="C109" i="1045"/>
  <c r="C108" i="1045"/>
  <c r="C107" i="1045"/>
  <c r="C106" i="1045"/>
  <c r="C105" i="1045"/>
  <c r="C104" i="1045"/>
  <c r="C103" i="1045"/>
  <c r="C102" i="1045"/>
  <c r="C101" i="1045"/>
  <c r="C100" i="1045"/>
  <c r="C99" i="1045"/>
  <c r="C98" i="1045"/>
  <c r="C97" i="1045"/>
  <c r="C96" i="1045"/>
  <c r="C95" i="1045"/>
  <c r="H95" i="1043" s="1"/>
  <c r="I95" i="1043" s="1"/>
  <c r="C94" i="1045"/>
  <c r="F93" i="1045"/>
  <c r="F128" i="1045" s="1"/>
  <c r="F154" i="1045" s="1"/>
  <c r="E93" i="1045"/>
  <c r="E128" i="1045" s="1"/>
  <c r="E154" i="1045" s="1"/>
  <c r="D93" i="1045"/>
  <c r="D128" i="1045" s="1"/>
  <c r="C91" i="1045"/>
  <c r="C85" i="1045"/>
  <c r="C84" i="1045"/>
  <c r="C83" i="1045"/>
  <c r="C82" i="1045"/>
  <c r="C81" i="1045"/>
  <c r="C80" i="1045"/>
  <c r="F79" i="1045"/>
  <c r="E79" i="1045"/>
  <c r="D79" i="1045"/>
  <c r="C79" i="1045"/>
  <c r="C78" i="1045"/>
  <c r="C77" i="1045"/>
  <c r="C76" i="1045"/>
  <c r="F75" i="1045"/>
  <c r="E75" i="1045"/>
  <c r="D75" i="1045"/>
  <c r="C75" i="1045" s="1"/>
  <c r="C74" i="1045"/>
  <c r="C73" i="1045"/>
  <c r="F72" i="1045"/>
  <c r="E72" i="1045"/>
  <c r="D72" i="1045"/>
  <c r="C72" i="1045" s="1"/>
  <c r="C71" i="1045"/>
  <c r="C70" i="1045"/>
  <c r="C69" i="1045"/>
  <c r="C68" i="1045"/>
  <c r="F67" i="1045"/>
  <c r="E67" i="1045"/>
  <c r="D67" i="1045"/>
  <c r="C67" i="1045" s="1"/>
  <c r="C66" i="1045"/>
  <c r="C65" i="1045"/>
  <c r="C64" i="1045"/>
  <c r="F63" i="1045"/>
  <c r="E63" i="1045"/>
  <c r="E86" i="1045" s="1"/>
  <c r="D63" i="1045"/>
  <c r="D86" i="1045" s="1"/>
  <c r="C61" i="1045"/>
  <c r="C60" i="1045"/>
  <c r="C59" i="1045"/>
  <c r="C58" i="1045"/>
  <c r="F57" i="1045"/>
  <c r="E57" i="1045"/>
  <c r="D57" i="1045"/>
  <c r="C57" i="1045" s="1"/>
  <c r="C56" i="1045"/>
  <c r="C55" i="1045"/>
  <c r="C54" i="1045"/>
  <c r="C53" i="1045"/>
  <c r="F52" i="1045"/>
  <c r="E52" i="1045"/>
  <c r="D52" i="1045"/>
  <c r="C52" i="1045" s="1"/>
  <c r="C51" i="1045"/>
  <c r="C50" i="1045"/>
  <c r="C49" i="1045"/>
  <c r="C48" i="1045"/>
  <c r="C47" i="1045"/>
  <c r="F46" i="1045"/>
  <c r="E46" i="1045"/>
  <c r="D46" i="1045"/>
  <c r="C46" i="1045"/>
  <c r="C45" i="1045"/>
  <c r="C44" i="1045"/>
  <c r="C43" i="1045"/>
  <c r="C42" i="1045"/>
  <c r="C41" i="1045"/>
  <c r="C40" i="1045"/>
  <c r="C39" i="1045"/>
  <c r="C38" i="1045"/>
  <c r="C37" i="1045"/>
  <c r="C36" i="1045"/>
  <c r="C35" i="1045"/>
  <c r="F34" i="1045"/>
  <c r="E34" i="1045"/>
  <c r="D34" i="1045"/>
  <c r="C33" i="1045"/>
  <c r="C32" i="1045"/>
  <c r="C31" i="1045"/>
  <c r="C30" i="1045"/>
  <c r="C29" i="1045"/>
  <c r="C28" i="1045"/>
  <c r="F27" i="1045"/>
  <c r="D27" i="1045"/>
  <c r="C27" i="1045"/>
  <c r="F26" i="1045"/>
  <c r="E26" i="1045"/>
  <c r="D26" i="1045"/>
  <c r="C26" i="1045"/>
  <c r="C25" i="1045"/>
  <c r="C24" i="1045"/>
  <c r="C23" i="1045"/>
  <c r="C22" i="1045"/>
  <c r="C21" i="1045"/>
  <c r="C20" i="1045"/>
  <c r="F19" i="1045"/>
  <c r="E19" i="1045"/>
  <c r="D19" i="1045"/>
  <c r="C19" i="1045" s="1"/>
  <c r="C18" i="1045"/>
  <c r="C17" i="1045"/>
  <c r="C16" i="1045"/>
  <c r="C15" i="1045"/>
  <c r="C14" i="1045"/>
  <c r="C13" i="1045"/>
  <c r="F12" i="1045"/>
  <c r="E12" i="1045"/>
  <c r="D12" i="1045"/>
  <c r="C12" i="1045" s="1"/>
  <c r="C11" i="1045"/>
  <c r="C10" i="1045"/>
  <c r="C9" i="1045"/>
  <c r="C8" i="1045"/>
  <c r="C7" i="1045"/>
  <c r="C6" i="1045"/>
  <c r="F5" i="1045"/>
  <c r="F62" i="1045" s="1"/>
  <c r="E5" i="1045"/>
  <c r="E62" i="1045" s="1"/>
  <c r="D5" i="1045"/>
  <c r="C152" i="1044"/>
  <c r="C151" i="1044"/>
  <c r="C150" i="1044"/>
  <c r="C149" i="1044"/>
  <c r="C148" i="1044"/>
  <c r="C147" i="1044"/>
  <c r="C146" i="1044"/>
  <c r="F145" i="1044"/>
  <c r="E145" i="1044"/>
  <c r="D145" i="1044"/>
  <c r="C145" i="1044"/>
  <c r="C144" i="1044"/>
  <c r="C143" i="1044"/>
  <c r="C142" i="1044"/>
  <c r="C141" i="1044"/>
  <c r="F140" i="1044"/>
  <c r="E140" i="1044"/>
  <c r="D140" i="1044"/>
  <c r="C140" i="1044" s="1"/>
  <c r="H140" i="1043" s="1"/>
  <c r="C139" i="1044"/>
  <c r="C138" i="1044"/>
  <c r="C137" i="1044"/>
  <c r="C136" i="1044"/>
  <c r="C135" i="1044"/>
  <c r="C134" i="1044"/>
  <c r="F133" i="1044"/>
  <c r="E133" i="1044"/>
  <c r="D133" i="1044"/>
  <c r="C133" i="1044" s="1"/>
  <c r="H133" i="1043" s="1"/>
  <c r="C132" i="1044"/>
  <c r="C131" i="1044"/>
  <c r="C130" i="1044"/>
  <c r="H130" i="1043" s="1"/>
  <c r="I130" i="1043" s="1"/>
  <c r="F129" i="1044"/>
  <c r="F153" i="1044" s="1"/>
  <c r="E129" i="1044"/>
  <c r="E153" i="1044" s="1"/>
  <c r="D129" i="1044"/>
  <c r="D153" i="1044" s="1"/>
  <c r="C153" i="1044" s="1"/>
  <c r="C127" i="1044"/>
  <c r="H127" i="1043" s="1"/>
  <c r="I127" i="1043" s="1"/>
  <c r="C126" i="1044"/>
  <c r="C125" i="1044"/>
  <c r="C124" i="1044"/>
  <c r="C123" i="1044"/>
  <c r="C122" i="1044"/>
  <c r="C121" i="1044"/>
  <c r="C120" i="1044"/>
  <c r="C119" i="1044"/>
  <c r="H117" i="1043"/>
  <c r="C115" i="1044"/>
  <c r="F114" i="1044"/>
  <c r="E114" i="1044"/>
  <c r="D114" i="1044"/>
  <c r="C113" i="1044"/>
  <c r="C112" i="1044"/>
  <c r="H112" i="1043" s="1"/>
  <c r="F111" i="1044"/>
  <c r="C110" i="1044"/>
  <c r="C109" i="1044"/>
  <c r="C108" i="1044"/>
  <c r="C107" i="1044"/>
  <c r="C106" i="1044"/>
  <c r="C105" i="1044"/>
  <c r="C104" i="1044"/>
  <c r="C103" i="1044"/>
  <c r="C102" i="1044"/>
  <c r="C101" i="1044"/>
  <c r="C100" i="1044"/>
  <c r="C99" i="1044"/>
  <c r="C97" i="1044"/>
  <c r="H97" i="1043" s="1"/>
  <c r="I97" i="1043" s="1"/>
  <c r="C96" i="1044"/>
  <c r="C95" i="1044"/>
  <c r="C94" i="1044"/>
  <c r="F93" i="1044"/>
  <c r="F128" i="1044" s="1"/>
  <c r="E93" i="1044"/>
  <c r="C91" i="1044"/>
  <c r="C85" i="1044"/>
  <c r="C84" i="1044"/>
  <c r="C83" i="1044"/>
  <c r="C82" i="1044"/>
  <c r="C81" i="1044"/>
  <c r="C80" i="1044"/>
  <c r="F79" i="1044"/>
  <c r="E79" i="1044"/>
  <c r="D79" i="1044"/>
  <c r="C79" i="1044"/>
  <c r="C78" i="1044"/>
  <c r="C77" i="1044"/>
  <c r="C76" i="1044"/>
  <c r="F75" i="1044"/>
  <c r="E75" i="1044"/>
  <c r="D75" i="1044"/>
  <c r="C75" i="1044" s="1"/>
  <c r="C74" i="1044"/>
  <c r="C73" i="1044"/>
  <c r="H73" i="1043" s="1"/>
  <c r="I73" i="1043" s="1"/>
  <c r="F72" i="1044"/>
  <c r="E72" i="1044"/>
  <c r="D72" i="1044"/>
  <c r="C71" i="1044"/>
  <c r="C70" i="1044"/>
  <c r="C69" i="1044"/>
  <c r="C68" i="1044"/>
  <c r="F67" i="1044"/>
  <c r="E67" i="1044"/>
  <c r="D67" i="1044"/>
  <c r="C67" i="1044" s="1"/>
  <c r="C66" i="1044"/>
  <c r="C65" i="1044"/>
  <c r="H65" i="1043" s="1"/>
  <c r="I65" i="1043" s="1"/>
  <c r="C64" i="1044"/>
  <c r="F63" i="1044"/>
  <c r="E63" i="1044"/>
  <c r="D63" i="1044"/>
  <c r="D86" i="1044" s="1"/>
  <c r="C61" i="1044"/>
  <c r="C60" i="1044"/>
  <c r="C59" i="1044"/>
  <c r="C58" i="1044"/>
  <c r="F57" i="1044"/>
  <c r="E57" i="1044"/>
  <c r="D57" i="1044"/>
  <c r="C57" i="1044"/>
  <c r="C56" i="1044"/>
  <c r="C55" i="1044"/>
  <c r="C54" i="1044"/>
  <c r="C53" i="1044"/>
  <c r="F52" i="1044"/>
  <c r="E52" i="1044"/>
  <c r="C51" i="1044"/>
  <c r="C50" i="1044"/>
  <c r="C49" i="1044"/>
  <c r="C47" i="1044"/>
  <c r="F46" i="1044"/>
  <c r="E46" i="1044"/>
  <c r="C45" i="1044"/>
  <c r="C44" i="1044"/>
  <c r="C43" i="1044"/>
  <c r="C42" i="1044"/>
  <c r="C41" i="1044"/>
  <c r="H41" i="1043" s="1"/>
  <c r="I41" i="1043" s="1"/>
  <c r="C40" i="1044"/>
  <c r="C39" i="1044"/>
  <c r="C38" i="1044"/>
  <c r="C37" i="1044"/>
  <c r="C36" i="1044"/>
  <c r="C35" i="1044"/>
  <c r="F34" i="1044"/>
  <c r="E34" i="1044"/>
  <c r="D34" i="1044"/>
  <c r="C34" i="1044" s="1"/>
  <c r="C33" i="1044"/>
  <c r="C32" i="1044"/>
  <c r="C31" i="1044"/>
  <c r="C30" i="1044"/>
  <c r="C29" i="1044"/>
  <c r="C28" i="1044"/>
  <c r="C27" i="1044"/>
  <c r="F26" i="1044"/>
  <c r="E26" i="1044"/>
  <c r="C25" i="1044"/>
  <c r="C24" i="1044"/>
  <c r="H24" i="1043" s="1"/>
  <c r="C23" i="1044"/>
  <c r="C22" i="1044"/>
  <c r="C21" i="1044"/>
  <c r="C20" i="1044"/>
  <c r="F19" i="1044"/>
  <c r="E19" i="1044"/>
  <c r="D19" i="1044"/>
  <c r="C19" i="1044" s="1"/>
  <c r="H19" i="1043" s="1"/>
  <c r="C18" i="1044"/>
  <c r="C17" i="1044"/>
  <c r="C16" i="1044"/>
  <c r="H16" i="1043" s="1"/>
  <c r="I16" i="1043" s="1"/>
  <c r="C15" i="1044"/>
  <c r="C14" i="1044"/>
  <c r="C13" i="1044"/>
  <c r="F12" i="1044"/>
  <c r="E12" i="1044"/>
  <c r="D12" i="1044"/>
  <c r="C12" i="1044" s="1"/>
  <c r="H12" i="1043" s="1"/>
  <c r="C11" i="1044"/>
  <c r="C10" i="1044"/>
  <c r="C9" i="1044"/>
  <c r="C8" i="1044"/>
  <c r="C7" i="1044"/>
  <c r="H7" i="1043" s="1"/>
  <c r="I7" i="1043" s="1"/>
  <c r="C6" i="1044"/>
  <c r="F5" i="1044"/>
  <c r="F62" i="1044" s="1"/>
  <c r="E5" i="1044"/>
  <c r="E62" i="1044" s="1"/>
  <c r="D5" i="1044"/>
  <c r="C5" i="1044" s="1"/>
  <c r="H152" i="1043"/>
  <c r="H151" i="1043"/>
  <c r="I151" i="1043"/>
  <c r="H150" i="1043"/>
  <c r="I150" i="1043"/>
  <c r="H149" i="1043"/>
  <c r="I149" i="1043"/>
  <c r="H148" i="1043"/>
  <c r="I148" i="1043"/>
  <c r="H147" i="1043"/>
  <c r="I147" i="1043"/>
  <c r="H146" i="1043"/>
  <c r="I146" i="1043"/>
  <c r="H145" i="1043"/>
  <c r="F145" i="1043"/>
  <c r="E145" i="1043"/>
  <c r="D145" i="1043"/>
  <c r="I145" i="1043"/>
  <c r="H144" i="1043"/>
  <c r="I144" i="1043"/>
  <c r="H143" i="1043"/>
  <c r="I143" i="1043"/>
  <c r="H142" i="1043"/>
  <c r="I142" i="1043" s="1"/>
  <c r="H141" i="1043"/>
  <c r="I141" i="1043"/>
  <c r="F140" i="1043"/>
  <c r="E140" i="1043"/>
  <c r="D140" i="1043"/>
  <c r="C140" i="1043" s="1"/>
  <c r="H139" i="1043"/>
  <c r="I139" i="1043"/>
  <c r="H138" i="1043"/>
  <c r="I138" i="1043"/>
  <c r="H137" i="1043"/>
  <c r="I137" i="1043"/>
  <c r="H136" i="1043"/>
  <c r="I136" i="1043"/>
  <c r="H135" i="1043"/>
  <c r="I135" i="1043"/>
  <c r="H134" i="1043"/>
  <c r="I134" i="1043"/>
  <c r="F133" i="1043"/>
  <c r="E133" i="1043"/>
  <c r="D133" i="1043"/>
  <c r="I133" i="1043"/>
  <c r="H132" i="1043"/>
  <c r="I132" i="1043"/>
  <c r="H131" i="1043"/>
  <c r="I131" i="1043" s="1"/>
  <c r="F129" i="1043"/>
  <c r="F153" i="1043" s="1"/>
  <c r="E129" i="1043"/>
  <c r="E153" i="1043" s="1"/>
  <c r="D129" i="1043"/>
  <c r="H126" i="1043"/>
  <c r="I126" i="1043"/>
  <c r="H125" i="1043"/>
  <c r="I125" i="1043"/>
  <c r="H124" i="1043"/>
  <c r="I124" i="1043"/>
  <c r="H123" i="1043"/>
  <c r="I123" i="1043"/>
  <c r="H122" i="1043"/>
  <c r="I122" i="1043" s="1"/>
  <c r="H121" i="1043"/>
  <c r="I121" i="1043"/>
  <c r="H120" i="1043"/>
  <c r="I120" i="1043" s="1"/>
  <c r="H119" i="1043"/>
  <c r="I119" i="1043"/>
  <c r="H118" i="1043"/>
  <c r="I118" i="1043" s="1"/>
  <c r="I117" i="1043"/>
  <c r="H116" i="1043"/>
  <c r="F114" i="1043"/>
  <c r="E114" i="1043"/>
  <c r="D114" i="1043"/>
  <c r="C114" i="1043" s="1"/>
  <c r="H113" i="1043"/>
  <c r="F111" i="1043"/>
  <c r="F93" i="1043" s="1"/>
  <c r="F128" i="1043" s="1"/>
  <c r="F154" i="1043" s="1"/>
  <c r="H110" i="1043"/>
  <c r="I110" i="1043" s="1"/>
  <c r="H109" i="1043"/>
  <c r="I109" i="1043"/>
  <c r="H108" i="1043"/>
  <c r="I108" i="1043"/>
  <c r="H107" i="1043"/>
  <c r="I107" i="1043"/>
  <c r="H106" i="1043"/>
  <c r="I106" i="1043"/>
  <c r="H105" i="1043"/>
  <c r="I105" i="1043" s="1"/>
  <c r="H104" i="1043"/>
  <c r="I104" i="1043"/>
  <c r="H103" i="1043"/>
  <c r="I103" i="1043"/>
  <c r="H102" i="1043"/>
  <c r="I102" i="1043"/>
  <c r="H101" i="1043"/>
  <c r="I101" i="1043"/>
  <c r="H100" i="1043"/>
  <c r="I100" i="1043"/>
  <c r="H99" i="1043"/>
  <c r="I99" i="1043" s="1"/>
  <c r="E93" i="1043"/>
  <c r="E128" i="1043" s="1"/>
  <c r="E154" i="1043" s="1"/>
  <c r="C91" i="1043"/>
  <c r="H85" i="1043"/>
  <c r="I85" i="1043"/>
  <c r="H84" i="1043"/>
  <c r="I84" i="1043"/>
  <c r="H83" i="1043"/>
  <c r="I83" i="1043"/>
  <c r="H82" i="1043"/>
  <c r="I82" i="1043"/>
  <c r="H81" i="1043"/>
  <c r="I81" i="1043"/>
  <c r="H80" i="1043"/>
  <c r="I80" i="1043"/>
  <c r="H79" i="1043"/>
  <c r="E79" i="1043"/>
  <c r="D79" i="1043"/>
  <c r="H78" i="1043"/>
  <c r="I78" i="1043"/>
  <c r="H77" i="1043"/>
  <c r="I77" i="1043"/>
  <c r="H76" i="1043"/>
  <c r="I76" i="1043"/>
  <c r="H75" i="1043"/>
  <c r="E75" i="1043"/>
  <c r="D75" i="1043"/>
  <c r="I75" i="1043"/>
  <c r="H74" i="1043"/>
  <c r="I74" i="1043"/>
  <c r="E72" i="1043"/>
  <c r="D72" i="1043"/>
  <c r="H71" i="1043"/>
  <c r="I71" i="1043"/>
  <c r="H70" i="1043"/>
  <c r="I70" i="1043"/>
  <c r="H69" i="1043"/>
  <c r="I69" i="1043"/>
  <c r="H68" i="1043"/>
  <c r="I68" i="1043"/>
  <c r="H67" i="1043"/>
  <c r="E67" i="1043"/>
  <c r="D67" i="1043"/>
  <c r="I67" i="1043"/>
  <c r="H66" i="1043"/>
  <c r="I66" i="1043"/>
  <c r="H64" i="1043"/>
  <c r="I64" i="1043" s="1"/>
  <c r="E63" i="1043"/>
  <c r="D63" i="1043"/>
  <c r="C63" i="1043" s="1"/>
  <c r="H61" i="1043"/>
  <c r="I61" i="1043"/>
  <c r="H60" i="1043"/>
  <c r="I60" i="1043" s="1"/>
  <c r="H59" i="1043"/>
  <c r="I59" i="1043"/>
  <c r="H58" i="1043"/>
  <c r="I58" i="1043"/>
  <c r="H57" i="1043"/>
  <c r="E57" i="1043"/>
  <c r="D57" i="1043"/>
  <c r="H56" i="1043"/>
  <c r="I56" i="1043"/>
  <c r="H55" i="1043"/>
  <c r="I55" i="1043" s="1"/>
  <c r="H54" i="1043"/>
  <c r="I54" i="1043" s="1"/>
  <c r="H53" i="1043"/>
  <c r="I53" i="1043"/>
  <c r="E52" i="1043"/>
  <c r="D52" i="1043"/>
  <c r="C52" i="1043" s="1"/>
  <c r="H51" i="1043"/>
  <c r="I51" i="1043"/>
  <c r="H50" i="1043"/>
  <c r="I50" i="1043"/>
  <c r="H49" i="1043"/>
  <c r="I49" i="1043" s="1"/>
  <c r="H48" i="1043"/>
  <c r="H47" i="1043"/>
  <c r="I47" i="1043"/>
  <c r="E46" i="1043"/>
  <c r="H45" i="1043"/>
  <c r="I45" i="1043" s="1"/>
  <c r="H44" i="1043"/>
  <c r="I44" i="1043" s="1"/>
  <c r="H43" i="1043"/>
  <c r="I43" i="1043" s="1"/>
  <c r="H42" i="1043"/>
  <c r="I42" i="1043" s="1"/>
  <c r="H39" i="1043"/>
  <c r="H38" i="1043"/>
  <c r="H37" i="1043"/>
  <c r="H36" i="1043"/>
  <c r="H35" i="1043"/>
  <c r="E34" i="1043"/>
  <c r="D34" i="1043"/>
  <c r="H33" i="1043"/>
  <c r="I33" i="1043" s="1"/>
  <c r="H32" i="1043"/>
  <c r="I32" i="1043" s="1"/>
  <c r="H31" i="1043"/>
  <c r="H30" i="1043"/>
  <c r="I30" i="1043" s="1"/>
  <c r="H29" i="1043"/>
  <c r="I29" i="1043" s="1"/>
  <c r="H28" i="1043"/>
  <c r="I28" i="1043" s="1"/>
  <c r="H27" i="1043"/>
  <c r="D27" i="1043"/>
  <c r="C27" i="1043" s="1"/>
  <c r="E26" i="1043"/>
  <c r="H25" i="1043"/>
  <c r="I25" i="1043" s="1"/>
  <c r="H23" i="1043"/>
  <c r="H22" i="1043"/>
  <c r="H21" i="1043"/>
  <c r="H20" i="1043"/>
  <c r="I20" i="1043" s="1"/>
  <c r="E19" i="1043"/>
  <c r="D19" i="1043"/>
  <c r="C19" i="1043" s="1"/>
  <c r="H18" i="1043"/>
  <c r="I18" i="1043" s="1"/>
  <c r="H17" i="1043"/>
  <c r="I17" i="1043" s="1"/>
  <c r="H15" i="1043"/>
  <c r="I15" i="1043"/>
  <c r="H14" i="1043"/>
  <c r="I14" i="1043"/>
  <c r="H13" i="1043"/>
  <c r="I13" i="1043"/>
  <c r="E12" i="1043"/>
  <c r="D12" i="1043"/>
  <c r="H11" i="1043"/>
  <c r="H10" i="1043"/>
  <c r="H9" i="1043"/>
  <c r="H8" i="1043"/>
  <c r="H6" i="1043"/>
  <c r="I6" i="1043" s="1"/>
  <c r="E5" i="1043"/>
  <c r="D5" i="1043"/>
  <c r="K27" i="1073" l="1"/>
  <c r="I27" i="1073"/>
  <c r="E44" i="1052"/>
  <c r="D8" i="1053"/>
  <c r="H8" i="1053" s="1"/>
  <c r="C30" i="1048"/>
  <c r="C31" i="1048" s="1"/>
  <c r="G28" i="1075"/>
  <c r="C128" i="1055"/>
  <c r="C155" i="1055" s="1"/>
  <c r="G140" i="1053"/>
  <c r="G75" i="1053"/>
  <c r="F86" i="1045"/>
  <c r="F87" i="1045" s="1"/>
  <c r="H115" i="1043"/>
  <c r="F86" i="1044"/>
  <c r="F87" i="1044" s="1"/>
  <c r="H40" i="1043"/>
  <c r="C63" i="1044"/>
  <c r="I140" i="1043"/>
  <c r="H96" i="1043"/>
  <c r="I96" i="1043" s="1"/>
  <c r="C72" i="1043"/>
  <c r="E62" i="1043"/>
  <c r="I27" i="1043"/>
  <c r="C34" i="1043"/>
  <c r="C12" i="1043"/>
  <c r="I12" i="1043" s="1"/>
  <c r="C37" i="1057"/>
  <c r="F20" i="1056"/>
  <c r="F46" i="1056"/>
  <c r="C34" i="1045"/>
  <c r="H34" i="1043" s="1"/>
  <c r="H94" i="1043"/>
  <c r="I94" i="1043" s="1"/>
  <c r="E87" i="1044"/>
  <c r="E86" i="1044"/>
  <c r="C72" i="1044"/>
  <c r="H72" i="1043" s="1"/>
  <c r="D153" i="1043"/>
  <c r="C153" i="1043" s="1"/>
  <c r="C129" i="1043"/>
  <c r="E86" i="1043"/>
  <c r="D86" i="1043"/>
  <c r="N28" i="1075"/>
  <c r="C52" i="1075"/>
  <c r="C54" i="1075" s="1"/>
  <c r="G52" i="1075"/>
  <c r="G54" i="1075" s="1"/>
  <c r="J27" i="1073"/>
  <c r="L27" i="1073"/>
  <c r="F38" i="1056"/>
  <c r="H55" i="1053"/>
  <c r="G37" i="1053"/>
  <c r="G29" i="1053"/>
  <c r="G30" i="1053"/>
  <c r="G15" i="1053"/>
  <c r="H22" i="1053"/>
  <c r="H29" i="1053"/>
  <c r="H30" i="1053"/>
  <c r="C65" i="1053"/>
  <c r="E31" i="1048"/>
  <c r="E32" i="1048"/>
  <c r="C29" i="1047"/>
  <c r="C86" i="1046"/>
  <c r="C62" i="1046"/>
  <c r="C158" i="1046" s="1"/>
  <c r="H153" i="1043"/>
  <c r="D62" i="1045"/>
  <c r="C62" i="1045" s="1"/>
  <c r="I116" i="1043"/>
  <c r="E128" i="1044"/>
  <c r="E154" i="1044" s="1"/>
  <c r="C114" i="1044"/>
  <c r="H114" i="1043" s="1"/>
  <c r="I113" i="1043"/>
  <c r="I36" i="1043"/>
  <c r="I37" i="1043"/>
  <c r="I38" i="1043"/>
  <c r="I39" i="1043"/>
  <c r="I40" i="1043"/>
  <c r="I19" i="1043"/>
  <c r="I22" i="1043"/>
  <c r="I23" i="1043"/>
  <c r="I24" i="1043"/>
  <c r="I8" i="1043"/>
  <c r="I9" i="1043"/>
  <c r="I10" i="1043"/>
  <c r="I31" i="1043"/>
  <c r="I35" i="1043"/>
  <c r="I48" i="1043"/>
  <c r="I112" i="1043"/>
  <c r="I115" i="1043"/>
  <c r="I21" i="1043"/>
  <c r="D26" i="1043"/>
  <c r="C26" i="1043" s="1"/>
  <c r="D46" i="1043"/>
  <c r="C46" i="1043" s="1"/>
  <c r="I79" i="1043"/>
  <c r="D93" i="1043"/>
  <c r="F154" i="1044"/>
  <c r="E87" i="1045"/>
  <c r="C159" i="1046"/>
  <c r="D154" i="1045"/>
  <c r="C154" i="1045" s="1"/>
  <c r="C128" i="1045"/>
  <c r="I152" i="1043"/>
  <c r="C129" i="1044"/>
  <c r="C5" i="1045"/>
  <c r="H5" i="1043" s="1"/>
  <c r="C129" i="1045"/>
  <c r="C30" i="1047"/>
  <c r="C31" i="1047"/>
  <c r="C32" i="1048"/>
  <c r="F5" i="1050"/>
  <c r="E16" i="1052"/>
  <c r="E22" i="1052" s="1"/>
  <c r="G8" i="1053"/>
  <c r="G9" i="1053"/>
  <c r="G10" i="1053"/>
  <c r="G11" i="1053"/>
  <c r="G12" i="1053"/>
  <c r="G13" i="1053"/>
  <c r="H15" i="1053"/>
  <c r="H20" i="1053"/>
  <c r="G22" i="1053"/>
  <c r="H34" i="1053"/>
  <c r="H35" i="1053"/>
  <c r="H36" i="1053"/>
  <c r="H37" i="1053"/>
  <c r="H38" i="1053"/>
  <c r="H39" i="1053"/>
  <c r="H40" i="1053"/>
  <c r="H41" i="1053"/>
  <c r="H47" i="1053"/>
  <c r="H48" i="1053"/>
  <c r="H49" i="1053"/>
  <c r="G55" i="1053"/>
  <c r="G58" i="1053"/>
  <c r="C65" i="1054"/>
  <c r="F89" i="1053"/>
  <c r="D89" i="1053"/>
  <c r="E89" i="1053"/>
  <c r="E114" i="1053"/>
  <c r="F114" i="1053"/>
  <c r="D114" i="1053"/>
  <c r="H114" i="1053" s="1"/>
  <c r="F154" i="1053"/>
  <c r="G154" i="1053" s="1"/>
  <c r="D154" i="1053"/>
  <c r="H154" i="1053" s="1"/>
  <c r="E154" i="1053"/>
  <c r="C65" i="1055"/>
  <c r="C90" i="1055" s="1"/>
  <c r="D26" i="1044"/>
  <c r="C26" i="1044" s="1"/>
  <c r="H26" i="1043" s="1"/>
  <c r="D46" i="1044"/>
  <c r="C46" i="1044" s="1"/>
  <c r="H46" i="1043" s="1"/>
  <c r="D52" i="1044"/>
  <c r="C52" i="1044" s="1"/>
  <c r="H52" i="1043" s="1"/>
  <c r="D111" i="1044"/>
  <c r="C111" i="1044" s="1"/>
  <c r="H111" i="1043" s="1"/>
  <c r="C63" i="1045"/>
  <c r="C93" i="1045"/>
  <c r="F5" i="1051"/>
  <c r="F32" i="1051" s="1"/>
  <c r="G114" i="1053"/>
  <c r="C128" i="1054"/>
  <c r="F93" i="1053"/>
  <c r="D93" i="1053"/>
  <c r="E93" i="1053"/>
  <c r="C42" i="1056"/>
  <c r="H60" i="1053"/>
  <c r="H66" i="1053"/>
  <c r="H67" i="1053"/>
  <c r="H70" i="1053"/>
  <c r="H75" i="1053"/>
  <c r="H78" i="1053"/>
  <c r="C89" i="1053"/>
  <c r="C90" i="1053" s="1"/>
  <c r="H105" i="1053"/>
  <c r="H110" i="1053"/>
  <c r="H111" i="1053"/>
  <c r="H112" i="1053"/>
  <c r="H113" i="1053"/>
  <c r="H115" i="1053"/>
  <c r="H116" i="1053"/>
  <c r="H117" i="1053"/>
  <c r="H118" i="1053"/>
  <c r="H119" i="1053"/>
  <c r="G129" i="1053"/>
  <c r="H133" i="1053"/>
  <c r="H140" i="1053"/>
  <c r="H146" i="1053"/>
  <c r="C52" i="1056"/>
  <c r="F52" i="1056" s="1"/>
  <c r="C58" i="1058"/>
  <c r="F8" i="1056"/>
  <c r="O6" i="1073"/>
  <c r="S6" i="1073" s="1"/>
  <c r="O26" i="1073"/>
  <c r="S26" i="1073" s="1"/>
  <c r="O14" i="1073"/>
  <c r="O8" i="1073"/>
  <c r="S8" i="1073" s="1"/>
  <c r="O11" i="1073"/>
  <c r="S11" i="1073" s="1"/>
  <c r="D27" i="1073"/>
  <c r="C27" i="1073"/>
  <c r="J52" i="1075"/>
  <c r="J54" i="1075" s="1"/>
  <c r="N9" i="1075"/>
  <c r="O5" i="1073"/>
  <c r="S5" i="1073" s="1"/>
  <c r="O16" i="1073"/>
  <c r="S16" i="1073" s="1"/>
  <c r="O17" i="1073"/>
  <c r="S17" i="1073" s="1"/>
  <c r="B52" i="1075"/>
  <c r="B54" i="1075" s="1"/>
  <c r="C42" i="1057" l="1"/>
  <c r="E42" i="1056" s="1"/>
  <c r="F42" i="1056" s="1"/>
  <c r="E37" i="1056"/>
  <c r="F37" i="1056" s="1"/>
  <c r="N52" i="1075"/>
  <c r="N54" i="1075" s="1"/>
  <c r="C86" i="1045"/>
  <c r="C159" i="1045" s="1"/>
  <c r="C86" i="1044"/>
  <c r="I72" i="1043"/>
  <c r="H63" i="1043"/>
  <c r="I63" i="1043" s="1"/>
  <c r="I153" i="1043"/>
  <c r="I34" i="1043"/>
  <c r="C58" i="1056"/>
  <c r="E87" i="1043"/>
  <c r="C86" i="1043"/>
  <c r="D128" i="1043"/>
  <c r="C93" i="1043"/>
  <c r="D62" i="1043"/>
  <c r="C87" i="1046"/>
  <c r="D87" i="1045"/>
  <c r="C87" i="1045" s="1"/>
  <c r="S14" i="1073"/>
  <c r="O27" i="1073"/>
  <c r="H98" i="1053"/>
  <c r="G98" i="1053"/>
  <c r="C93" i="1053"/>
  <c r="C98" i="1044"/>
  <c r="H98" i="1043" s="1"/>
  <c r="I98" i="1043" s="1"/>
  <c r="D93" i="1044"/>
  <c r="C90" i="1054"/>
  <c r="E65" i="1053"/>
  <c r="F65" i="1053"/>
  <c r="G65" i="1053" s="1"/>
  <c r="D65" i="1053"/>
  <c r="H65" i="1053" s="1"/>
  <c r="H129" i="1043"/>
  <c r="I129" i="1043" s="1"/>
  <c r="C158" i="1045"/>
  <c r="C159" i="1044"/>
  <c r="H86" i="1043"/>
  <c r="I86" i="1043" s="1"/>
  <c r="I57" i="1043"/>
  <c r="I114" i="1043"/>
  <c r="I111" i="1043"/>
  <c r="I46" i="1043"/>
  <c r="I26" i="1043"/>
  <c r="F58" i="1056"/>
  <c r="H89" i="1053"/>
  <c r="G89" i="1053"/>
  <c r="C155" i="1054"/>
  <c r="F128" i="1053"/>
  <c r="D128" i="1053"/>
  <c r="E128" i="1053"/>
  <c r="E33" i="1048"/>
  <c r="C33" i="1048"/>
  <c r="E32" i="1047"/>
  <c r="C32" i="1047"/>
  <c r="D62" i="1044"/>
  <c r="C159" i="1043"/>
  <c r="I52" i="1043"/>
  <c r="O52" i="1075" l="1"/>
  <c r="D87" i="1043"/>
  <c r="D154" i="1043"/>
  <c r="C154" i="1043" s="1"/>
  <c r="C128" i="1043"/>
  <c r="D87" i="1044"/>
  <c r="C87" i="1044" s="1"/>
  <c r="H87" i="1043" s="1"/>
  <c r="C62" i="1044"/>
  <c r="F155" i="1053"/>
  <c r="D155" i="1053"/>
  <c r="E155" i="1053"/>
  <c r="D128" i="1044"/>
  <c r="C93" i="1044"/>
  <c r="H93" i="1043" s="1"/>
  <c r="I93" i="1043" s="1"/>
  <c r="H93" i="1053"/>
  <c r="C128" i="1053"/>
  <c r="G93" i="1053"/>
  <c r="F90" i="1053"/>
  <c r="G90" i="1053" s="1"/>
  <c r="D90" i="1053"/>
  <c r="H90" i="1053" s="1"/>
  <c r="E90" i="1053"/>
  <c r="D154" i="1044" l="1"/>
  <c r="C154" i="1044" s="1"/>
  <c r="H154" i="1043" s="1"/>
  <c r="C128" i="1044"/>
  <c r="H128" i="1043" s="1"/>
  <c r="I128" i="1043" s="1"/>
  <c r="H62" i="1043"/>
  <c r="H128" i="1053"/>
  <c r="C155" i="1053"/>
  <c r="G128" i="1053"/>
  <c r="C158" i="1044" l="1"/>
  <c r="H155" i="1053"/>
  <c r="G155" i="1053"/>
  <c r="H159" i="1043"/>
  <c r="I154" i="1043"/>
  <c r="C52" i="991" l="1"/>
  <c r="C46" i="991"/>
  <c r="C58" i="991" s="1"/>
  <c r="C38" i="991"/>
  <c r="C31" i="991"/>
  <c r="C26" i="991"/>
  <c r="C20" i="991"/>
  <c r="C8" i="991"/>
  <c r="C37" i="991" s="1"/>
  <c r="C42" i="991" s="1"/>
  <c r="C13" i="911"/>
  <c r="D11" i="743"/>
  <c r="E11" i="743"/>
  <c r="C22" i="743"/>
  <c r="C24" i="743" s="1"/>
  <c r="D30" i="273"/>
  <c r="C9" i="273"/>
  <c r="C30" i="273" s="1"/>
  <c r="E31" i="743"/>
  <c r="E35" i="743" s="1"/>
  <c r="E37" i="743" s="1"/>
  <c r="D31" i="743"/>
  <c r="D35" i="743" s="1"/>
  <c r="D37" i="743" s="1"/>
  <c r="C31" i="743"/>
  <c r="C35" i="743" s="1"/>
  <c r="C37" i="743" s="1"/>
  <c r="E28" i="743"/>
  <c r="D28" i="743"/>
  <c r="C28" i="743"/>
  <c r="E27" i="743"/>
  <c r="E16" i="89"/>
  <c r="F16" i="89"/>
  <c r="D16" i="89"/>
  <c r="C16" i="89"/>
  <c r="G15" i="89"/>
  <c r="G14" i="89"/>
  <c r="G13" i="89"/>
  <c r="G12" i="89"/>
  <c r="G11" i="89"/>
  <c r="G10" i="89"/>
  <c r="G16" i="89"/>
  <c r="E10" i="743" l="1"/>
  <c r="E22" i="743" s="1"/>
  <c r="E24" i="743" s="1"/>
  <c r="D10" i="743"/>
  <c r="D22" i="743" s="1"/>
  <c r="D24" i="743" s="1"/>
  <c r="C62" i="1043"/>
  <c r="C158" i="1043" s="1"/>
  <c r="C5" i="1043"/>
  <c r="I5" i="1043" s="1"/>
  <c r="C11" i="1043"/>
  <c r="I11" i="1043" s="1"/>
  <c r="C87" i="1043"/>
  <c r="I87" i="1043" s="1"/>
  <c r="I62" i="1043" l="1"/>
</calcChain>
</file>

<file path=xl/sharedStrings.xml><?xml version="1.0" encoding="utf-8"?>
<sst xmlns="http://schemas.openxmlformats.org/spreadsheetml/2006/main" count="5757" uniqueCount="899">
  <si>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</si>
  <si>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</si>
  <si>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</si>
  <si>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</si>
  <si>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</si>
  <si>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</si>
  <si>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Pályázati önerő: közművelődés: 200 eFt, könyvtári: 200 eFt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</si>
  <si>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</si>
  <si>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</si>
  <si>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</si>
  <si>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</si>
  <si>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</si>
  <si>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 xml:space="preserve">Hosszabb id. közfogl. </t>
  </si>
  <si>
    <t>Beruházási (felhalmozási) kiadások előirányzata beruházásonként</t>
  </si>
  <si>
    <t>Felújítási kiadások előirányzata felújításonként</t>
  </si>
  <si>
    <t>Vállalkozási maradvány igénybevétele</t>
  </si>
  <si>
    <t>Adatszolgáltatás 
az elismert tartozásállományról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</si>
  <si>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</si>
  <si>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</si>
  <si>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</si>
  <si>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Eszközök hasznosítása utáni kedvezmény, mentesség</t>
  </si>
  <si>
    <t>Helyiségek hasznosítása utáni kedvezmény, mentesség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</si>
  <si>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</si>
  <si>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</si>
  <si>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</si>
  <si>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</si>
  <si>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</si>
  <si>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</si>
  <si>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</si>
  <si>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</si>
  <si>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</si>
  <si>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</si>
  <si>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</si>
  <si>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</si>
  <si>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</si>
  <si>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</si>
  <si>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</si>
  <si>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</si>
  <si>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</si>
  <si>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</si>
  <si>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</si>
  <si>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</si>
  <si>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</si>
  <si>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</si>
  <si>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</si>
  <si>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</si>
  <si>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</si>
  <si>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</si>
  <si>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</si>
  <si>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</si>
  <si>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</si>
  <si>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</si>
  <si>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</si>
  <si>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</si>
  <si>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</si>
  <si>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</si>
  <si>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</si>
  <si>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</si>
  <si>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</si>
  <si>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</si>
  <si>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</si>
  <si>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</si>
  <si>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</si>
  <si>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</si>
  <si>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</si>
  <si>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</si>
  <si>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</si>
  <si>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</si>
  <si>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</si>
  <si>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</si>
  <si>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</si>
  <si>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</si>
  <si>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</si>
  <si>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</si>
  <si>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</si>
  <si>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</si>
  <si>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</si>
  <si>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</si>
  <si>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</si>
  <si>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</si>
  <si>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</si>
  <si>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</si>
  <si>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</si>
  <si>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</si>
  <si>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</si>
  <si>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Kedvezmény nélkül elérhető bevétel</t>
  </si>
  <si>
    <t>Kedvezmények összege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</si>
  <si>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</si>
  <si>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</si>
  <si>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</si>
  <si>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</si>
  <si>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</si>
  <si>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</si>
  <si>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</si>
  <si>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</si>
  <si>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</si>
  <si>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</si>
  <si>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</si>
  <si>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</si>
  <si>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</si>
  <si>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</si>
  <si>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</si>
  <si>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</si>
  <si>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</si>
  <si>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</si>
  <si>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</si>
  <si>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</si>
  <si>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</si>
  <si>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</si>
  <si>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</si>
  <si>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</si>
  <si>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</si>
  <si>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</si>
  <si>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</si>
  <si>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</si>
  <si>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</si>
  <si>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</si>
  <si>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</si>
  <si>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</si>
  <si>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</si>
  <si>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</si>
  <si>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</si>
  <si>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</si>
  <si>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</si>
  <si>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</si>
  <si>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</si>
  <si>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</si>
  <si>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</si>
  <si>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</si>
  <si>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</si>
  <si>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</si>
  <si>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</si>
  <si>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</si>
  <si>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</si>
  <si>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</si>
  <si>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</si>
  <si>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Lakosság részére lakásépítéshez nyújtott kölcsön elengedése</t>
  </si>
  <si>
    <t>Lakosság részére lakásfelújításhoz nyújtott kölcsön elengedése</t>
  </si>
  <si>
    <t>Gépjárműadóból biztosított kedvezmény, mentesség</t>
  </si>
  <si>
    <t>Egyéb kedvezmény</t>
  </si>
  <si>
    <t>Egyéb kölcsön elengedése</t>
  </si>
  <si>
    <t>Támogatott szervezet neve</t>
  </si>
  <si>
    <t>Támogatás célja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</si>
  <si>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</si>
  <si>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</si>
  <si>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</si>
  <si>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</si>
  <si>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</si>
  <si>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</si>
  <si>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</si>
  <si>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</si>
  <si>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</si>
  <si>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</si>
  <si>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</si>
  <si>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</si>
  <si>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</si>
  <si>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</si>
  <si>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</si>
  <si>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</si>
  <si>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</si>
  <si>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</si>
  <si>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</si>
  <si>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</si>
  <si>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</si>
  <si>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</si>
  <si>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</si>
  <si>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</si>
  <si>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</si>
  <si>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</si>
  <si>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</si>
  <si>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</si>
  <si>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</si>
  <si>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</si>
  <si>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</si>
  <si>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Ellátottak térítési díjának méltányosságból történő elengedése</t>
  </si>
  <si>
    <t>Ellátottak kártérítésének méltányosságból történő elengedése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</si>
  <si>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</si>
  <si>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</si>
  <si>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</si>
  <si>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</si>
  <si>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</si>
  <si>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</si>
  <si>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</si>
  <si>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</si>
  <si>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</si>
  <si>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</si>
  <si>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</si>
  <si>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</si>
  <si>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</si>
  <si>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</si>
  <si>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</si>
  <si>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</si>
  <si>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</si>
  <si>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</si>
  <si>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</si>
  <si>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</si>
  <si>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</si>
  <si>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</si>
  <si>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</si>
  <si>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</si>
  <si>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</si>
  <si>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</si>
  <si>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</si>
  <si>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Bevételi jogcímek</t>
  </si>
  <si>
    <t>MEGNEVEZÉS</t>
  </si>
  <si>
    <t>ÖSSZES KÖTELEZETTSÉG</t>
  </si>
  <si>
    <t>SAJÁT BEVÉTELEK ÖSSZESEN*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</si>
  <si>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</si>
  <si>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</si>
  <si>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</si>
  <si>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</si>
  <si>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</si>
  <si>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Közfoglalkoztatottak létszáma (fő)</t>
  </si>
  <si>
    <t>Egyéb (Pl.: garancia és kezességvállalás, stb.)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</si>
  <si>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</si>
  <si>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</si>
  <si>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</si>
  <si>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</si>
  <si>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</si>
  <si>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</si>
  <si>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</si>
  <si>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</si>
  <si>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</si>
  <si>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</si>
  <si>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</si>
  <si>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</si>
  <si>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</si>
  <si>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</si>
  <si>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</si>
  <si>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</si>
  <si>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</si>
  <si>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Fejlesztés várható kiadása</t>
  </si>
  <si>
    <t>Önkormányzat</t>
  </si>
  <si>
    <t>*Az adósságot keletkeztető ügyletekhez történő hozzájárulás részletes szabályairól szóló 353/2011. (XII.31.) Korm. Rendelet 2.§ (1) bekezdése alapján.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</si>
  <si>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</si>
  <si>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</si>
  <si>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</si>
  <si>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</si>
  <si>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</si>
  <si>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</si>
  <si>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</si>
  <si>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</si>
  <si>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</si>
  <si>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</si>
  <si>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</si>
  <si>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</si>
  <si>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</si>
  <si>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</si>
  <si>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</si>
  <si>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</si>
  <si>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</si>
  <si>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</si>
  <si>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</si>
  <si>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</si>
  <si>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</si>
  <si>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</si>
  <si>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</si>
  <si>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Bírság-, pótlék- és díjbevétel</t>
  </si>
  <si>
    <t>Tárgyi eszköz és az immateriális jószág, részvény, részesedés, vállalat értékesítéséből vagy privatizációból származó bevétel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</si>
  <si>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</si>
  <si>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</si>
  <si>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</si>
  <si>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</si>
  <si>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</si>
  <si>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</si>
  <si>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</si>
  <si>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</si>
  <si>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</si>
  <si>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</si>
  <si>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</si>
  <si>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</si>
  <si>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</si>
  <si>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</si>
  <si>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</si>
  <si>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</si>
  <si>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</si>
  <si>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</si>
  <si>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</si>
  <si>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</si>
  <si>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</si>
  <si>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</si>
  <si>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</si>
  <si>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</si>
  <si>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</si>
  <si>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</si>
  <si>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</si>
  <si>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</si>
  <si>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</si>
  <si>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</si>
  <si>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</si>
  <si>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</si>
  <si>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</si>
  <si>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</si>
  <si>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</si>
  <si>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</si>
  <si>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</si>
  <si>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</si>
  <si>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</si>
  <si>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</si>
  <si>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</si>
  <si>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</si>
  <si>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</si>
  <si>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</si>
  <si>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</si>
  <si>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</si>
  <si>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</si>
  <si>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</si>
  <si>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</si>
  <si>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</si>
  <si>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</si>
  <si>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</si>
  <si>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</si>
  <si>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</si>
  <si>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</si>
  <si>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</si>
  <si>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</si>
  <si>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</si>
  <si>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</si>
  <si>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</si>
  <si>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</si>
  <si>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</si>
  <si>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</si>
  <si>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</si>
  <si>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</si>
  <si>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</si>
  <si>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</si>
  <si>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</si>
  <si>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</si>
  <si>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</si>
  <si>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</si>
  <si>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</si>
  <si>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</si>
  <si>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</si>
  <si>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</si>
  <si>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</si>
  <si>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</si>
  <si>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</si>
  <si>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</si>
  <si>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</si>
  <si>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</si>
  <si>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</si>
  <si>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</si>
  <si>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</si>
  <si>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</si>
  <si>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</si>
  <si>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</si>
  <si>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</si>
  <si>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</si>
  <si>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</si>
  <si>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</si>
  <si>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</si>
  <si>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</si>
  <si>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</si>
  <si>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</si>
  <si>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</si>
  <si>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</si>
  <si>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</si>
  <si>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</si>
  <si>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</si>
  <si>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</si>
  <si>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</si>
  <si>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</si>
  <si>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</si>
  <si>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</si>
  <si>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</si>
  <si>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</si>
  <si>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</si>
  <si>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</si>
  <si>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</si>
  <si>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</si>
  <si>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</si>
  <si>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</si>
  <si>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</si>
  <si>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</si>
  <si>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</si>
  <si>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</si>
  <si>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</si>
  <si>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</si>
  <si>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</si>
  <si>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</si>
  <si>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</si>
  <si>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</si>
  <si>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</si>
  <si>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</si>
  <si>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</si>
  <si>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</si>
  <si>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</si>
  <si>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</si>
  <si>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</si>
  <si>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</si>
  <si>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</si>
  <si>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</si>
  <si>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</si>
  <si>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</si>
  <si>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</si>
  <si>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</si>
  <si>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</si>
  <si>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</si>
  <si>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</si>
  <si>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</si>
  <si>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</si>
  <si>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</si>
  <si>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</si>
  <si>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</si>
  <si>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</si>
  <si>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</si>
  <si>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</si>
  <si>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</si>
  <si>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</si>
  <si>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</si>
  <si>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</si>
  <si>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</si>
  <si>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</si>
  <si>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</si>
  <si>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</si>
  <si>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</si>
  <si>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</si>
  <si>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</si>
  <si>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</si>
  <si>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</si>
  <si>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</si>
  <si>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</si>
  <si>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</si>
  <si>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</si>
  <si>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</si>
  <si>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</si>
  <si>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</si>
  <si>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</si>
  <si>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</si>
  <si>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</si>
  <si>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</si>
  <si>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</si>
  <si>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</si>
  <si>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</si>
  <si>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</si>
  <si>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</si>
  <si>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</si>
  <si>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</si>
  <si>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</si>
  <si>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</si>
  <si>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</si>
  <si>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</si>
  <si>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</si>
  <si>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</si>
  <si>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</si>
  <si>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</si>
  <si>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>Osztalék, a koncessziós díj és a hozambevétel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</si>
  <si>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</si>
  <si>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</si>
  <si>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</si>
  <si>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</si>
  <si>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</si>
  <si>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</si>
  <si>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</si>
  <si>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</si>
  <si>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</si>
  <si>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</si>
  <si>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</si>
  <si>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</si>
  <si>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</si>
  <si>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</si>
  <si>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</si>
  <si>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</si>
  <si>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</si>
  <si>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</si>
  <si>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</si>
  <si>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</si>
  <si>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</si>
  <si>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</si>
  <si>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</si>
  <si>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</si>
  <si>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</si>
  <si>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</si>
  <si>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</si>
  <si>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</si>
  <si>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</si>
  <si>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</si>
  <si>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</si>
  <si>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</si>
  <si>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</si>
  <si>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</si>
  <si>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</si>
  <si>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</si>
  <si>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</si>
  <si>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</si>
  <si>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</si>
  <si>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</si>
  <si>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</si>
  <si>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</si>
  <si>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</si>
  <si>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</si>
  <si>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</si>
  <si>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</si>
  <si>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</si>
  <si>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</si>
  <si>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</si>
  <si>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</si>
  <si>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</si>
  <si>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</si>
  <si>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</si>
  <si>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</si>
  <si>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</si>
  <si>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</si>
  <si>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</si>
  <si>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</si>
  <si>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</si>
  <si>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</si>
  <si>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</si>
  <si>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</si>
  <si>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</si>
  <si>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</si>
  <si>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</si>
  <si>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</si>
  <si>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</si>
  <si>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</si>
  <si>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</si>
  <si>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</si>
  <si>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</si>
  <si>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</si>
  <si>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</si>
  <si>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</si>
  <si>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</si>
  <si>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</si>
  <si>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</si>
  <si>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</si>
  <si>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</si>
  <si>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</si>
  <si>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</si>
  <si>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</si>
  <si>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</si>
  <si>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</si>
  <si>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</si>
  <si>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</si>
  <si>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</si>
  <si>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</si>
  <si>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</si>
  <si>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</si>
  <si>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</si>
  <si>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</si>
  <si>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</si>
  <si>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Tiszavasvári Város Önkormányzata adósságot keletkeztető ügyletekből és kezességvállalásokból fennálló kötelezettségei</t>
  </si>
  <si>
    <t>Polgármesteri hivatal</t>
  </si>
  <si>
    <t>Tiszavasvári Város Önkormányzata saját bevételeinek részletezése az adósságot keletkeztető ügyletből származó tárgyévi fizetési kötelezettség megállapításához</t>
  </si>
  <si>
    <t>Tiszavasvári Sportegyesület TAO pályázat önerő</t>
  </si>
  <si>
    <t>Nem veszélyes hulladék kezelése, ártalmatlanítása</t>
  </si>
  <si>
    <t>Az önkormányzat által adott közvetett támogatások
                                                  ( kedvezmények)            TÁJÉKOZTATÓ TÁBLA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</si>
  <si>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</si>
  <si>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</si>
  <si>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</si>
  <si>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</si>
  <si>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</si>
  <si>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</si>
  <si>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</si>
  <si>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</si>
  <si>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</si>
  <si>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</si>
  <si>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</si>
  <si>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</si>
  <si>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</si>
  <si>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</si>
  <si>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</si>
  <si>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</si>
  <si>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</si>
  <si>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</si>
  <si>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</si>
  <si>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</si>
  <si>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</si>
  <si>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</si>
  <si>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</si>
  <si>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</si>
  <si>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</si>
  <si>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</si>
  <si>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</si>
  <si>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</si>
  <si>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</si>
  <si>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</si>
  <si>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</si>
  <si>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</si>
  <si>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</si>
  <si>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</si>
  <si>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</si>
  <si>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</si>
  <si>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</si>
  <si>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</si>
  <si>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</si>
  <si>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</si>
  <si>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</si>
  <si>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</si>
  <si>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</si>
  <si>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</si>
  <si>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</si>
  <si>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</si>
  <si>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</si>
  <si>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</si>
  <si>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</si>
  <si>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</si>
  <si>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</si>
  <si>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</si>
  <si>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</si>
  <si>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</si>
  <si>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</si>
  <si>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</si>
  <si>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</si>
  <si>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</si>
  <si>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</si>
  <si>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</si>
  <si>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</si>
  <si>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</si>
  <si>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</si>
  <si>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</si>
  <si>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</si>
  <si>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</si>
  <si>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</si>
  <si>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</si>
  <si>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</si>
  <si>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</si>
  <si>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</si>
  <si>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</si>
  <si>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</si>
  <si>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</si>
  <si>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</si>
  <si>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</si>
  <si>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</si>
  <si>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</si>
  <si>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</si>
  <si>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</si>
  <si>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</si>
  <si>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</si>
  <si>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</si>
  <si>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</si>
  <si>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</si>
  <si>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</si>
  <si>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</si>
  <si>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</si>
  <si>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</si>
  <si>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Folyószámla-hitel (keret: 100.000 eFt)*</t>
  </si>
  <si>
    <t>ÉAOP Óvodabővítés projekt saját erő hitel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</si>
  <si>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</si>
  <si>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</si>
  <si>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</si>
  <si>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</si>
  <si>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</si>
  <si>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</si>
  <si>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</si>
  <si>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</si>
  <si>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</si>
  <si>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</si>
  <si>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</si>
  <si>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</si>
  <si>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</si>
  <si>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</si>
  <si>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</si>
  <si>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>Helyi és települési adók</t>
  </si>
  <si>
    <t>Kezesség- illetve garanciavállalással kapcsolatos megtérülés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</si>
  <si>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</si>
  <si>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</si>
  <si>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</si>
  <si>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</si>
  <si>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</si>
  <si>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</si>
  <si>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</si>
  <si>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</si>
  <si>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</si>
  <si>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</si>
  <si>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</si>
  <si>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</si>
  <si>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</si>
  <si>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</si>
  <si>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</si>
  <si>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</si>
  <si>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</si>
  <si>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</si>
  <si>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</si>
  <si>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</si>
  <si>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</si>
  <si>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</si>
  <si>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</si>
  <si>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</si>
  <si>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</si>
  <si>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</si>
  <si>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</si>
  <si>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</si>
  <si>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</si>
  <si>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</si>
  <si>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</si>
  <si>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</si>
  <si>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</si>
  <si>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Egyesített Közművelédési Intérmény és Könyvtár</t>
  </si>
  <si>
    <t>Forintban</t>
  </si>
  <si>
    <t>Forintban !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</si>
  <si>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</si>
  <si>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</si>
  <si>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</si>
  <si>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</si>
  <si>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</si>
  <si>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</si>
  <si>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</si>
  <si>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</si>
  <si>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</si>
  <si>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</si>
  <si>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</si>
  <si>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</si>
  <si>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</si>
  <si>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</si>
  <si>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</si>
  <si>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</si>
  <si>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</si>
  <si>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</si>
  <si>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</si>
  <si>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</si>
  <si>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</si>
  <si>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</si>
  <si>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*: A folyószámlahitel-keret: 100.000eFt, a 4. oszlopban azért nem került feltüntetésre, mert törleszteni csak az igénybevett hitelkeret erejéig kell.</t>
  </si>
  <si>
    <t>Beruházási tartalék</t>
  </si>
  <si>
    <t>TSE TAO hitel 2017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</si>
  <si>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</si>
  <si>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</si>
  <si>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</si>
  <si>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</si>
  <si>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</si>
  <si>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Halgatói és oktatói ösztöndíjak</t>
  </si>
  <si>
    <t>Köztemető fenntartás és működtetés</t>
  </si>
  <si>
    <t>Tiszavasvári Egészségügyi Szolg. Kft. (saját tőke vissz.)</t>
  </si>
  <si>
    <t>Dr. Tolna Klári háziorvosi praxis műk.tám.</t>
  </si>
  <si>
    <t>2019. évi</t>
  </si>
  <si>
    <t>2020. évi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</si>
  <si>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</si>
  <si>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</si>
  <si>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Fordított ÁFA</t>
  </si>
  <si>
    <t>2018. évi előirányzat</t>
  </si>
  <si>
    <t>2018.évi előirányzat</t>
  </si>
  <si>
    <t>Tiszavasvári Egyesített Óvodai Intézmény Minimanó óvodájának részleges felújítása</t>
  </si>
  <si>
    <t>Tiszavasvári Város Önkormányzata 2018. évi adósságot keletkeztető fejlesztési céljai</t>
  </si>
  <si>
    <t>Felhasználás
2017. XII.31-ig</t>
  </si>
  <si>
    <t xml:space="preserve">
2018. év utáni szükséglet
</t>
  </si>
  <si>
    <t>2018. év utáni szükséglet
(6=2 - 4 - 5)</t>
  </si>
  <si>
    <t>2018. előtt</t>
  </si>
  <si>
    <t>2018 után</t>
  </si>
  <si>
    <t>EU-s projekt neve, azonosítója: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</si>
  <si>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</si>
  <si>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</si>
  <si>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</si>
  <si>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</si>
  <si>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2018. előtti kifizetés</t>
  </si>
  <si>
    <t>2020 után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</si>
  <si>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</si>
  <si>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</si>
  <si>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</si>
  <si>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</si>
  <si>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</si>
  <si>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</si>
  <si>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</si>
  <si>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</si>
  <si>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</si>
  <si>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</si>
  <si>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</si>
  <si>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</si>
  <si>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</si>
  <si>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2021. évi</t>
  </si>
  <si>
    <t>Önkormányzaton kívüli EU-s projektekhez történő hozzájárulás 2018. évi előirányzat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</si>
  <si>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</si>
  <si>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</si>
  <si>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</si>
  <si>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</si>
  <si>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</si>
  <si>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</si>
  <si>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</si>
  <si>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Vágóhíd út szélesítése</t>
  </si>
  <si>
    <t>Minimanó Óvoda elektromos felúj.+festés+ fűtéskorszerűsítés</t>
  </si>
  <si>
    <t>Szennyvízbekötés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</si>
  <si>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</si>
  <si>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</si>
  <si>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</si>
  <si>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</si>
  <si>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</si>
  <si>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</si>
  <si>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</si>
  <si>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</si>
  <si>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</si>
  <si>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</si>
  <si>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</si>
  <si>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</si>
  <si>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</si>
  <si>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</si>
  <si>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egyéb tárgyi eszköz beszerzés (festmény, függöny, klíma, bútor)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</si>
  <si>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</si>
  <si>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</si>
  <si>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</si>
  <si>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</si>
  <si>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</si>
  <si>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</si>
  <si>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</si>
  <si>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</si>
  <si>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</si>
  <si>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</si>
  <si>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</si>
  <si>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</si>
  <si>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</si>
  <si>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</si>
  <si>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</si>
  <si>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</si>
  <si>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- 2 db radiátor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</si>
  <si>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</si>
  <si>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</si>
  <si>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</si>
  <si>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</si>
  <si>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</si>
  <si>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</si>
  <si>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</si>
  <si>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</si>
  <si>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</si>
  <si>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</si>
  <si>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</si>
  <si>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</si>
  <si>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</si>
  <si>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</si>
  <si>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</si>
  <si>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</si>
  <si>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</si>
  <si>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</si>
  <si>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laptop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</si>
  <si>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</si>
  <si>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</si>
  <si>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</si>
  <si>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</si>
  <si>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</si>
  <si>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</si>
  <si>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1 db monitor (iroda)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</si>
  <si>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</si>
  <si>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</si>
  <si>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</si>
  <si>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</si>
  <si>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</si>
  <si>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</si>
  <si>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</si>
  <si>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</si>
  <si>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</si>
  <si>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</si>
  <si>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</si>
  <si>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EU-s projekt neve, azonosítója:  A Tiszavasvári Kabay-konyha korszerűsítése és agrárlogisztikai pont kialakítása, TOP-1.1.3-15-SB1-2016-00033</t>
  </si>
  <si>
    <t>EU-s projekt neve, azonosítója: Tiszavasvári város infrastruktúra fejlesztése, lakóterület belvíz mentesítése, TOP-2.1.3-15-SB1-2016-00024</t>
  </si>
  <si>
    <t>EU-s projekt neve, azonosítója: A Váci Mihály Gimnázium épületének energetikai kórszerűsítése,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</si>
  <si>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</si>
  <si>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EU-s projekt neve, azonosítója: Komplex energetikai fejlesztések Tiszavasváriban, TOP-3.2.2-15-SB1-2016-00012</t>
  </si>
  <si>
    <t>EU-s projekt neve, azonosítója: Tiszavasvári Város Önkormányzata ASP központhoz való csatlakozása, KÖFOP-1.2.1-VEKOP-16</t>
  </si>
  <si>
    <t>Kiküldetés kiadásai</t>
  </si>
  <si>
    <t>Minimanó Óvoda villámhárító felújítása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</si>
  <si>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</si>
  <si>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Önkormányzaton kívüli EU-s projektekhez történő hozzájárulás 2017. évi előirányzat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</si>
  <si>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</si>
  <si>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</si>
  <si>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</si>
  <si>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</si>
  <si>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</si>
  <si>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......................, 2018. .......................... hó ..... nap</t>
  </si>
  <si>
    <t>2016. évi tény</t>
  </si>
  <si>
    <t>0</t>
  </si>
  <si>
    <t>Gyermekétkeztetés támogatása (bértámogatás)</t>
  </si>
  <si>
    <t>2018. évi bérkompenzáció 1-11 hó</t>
  </si>
  <si>
    <t>Kisgyermek gondozó pótlék 1-11 hó</t>
  </si>
  <si>
    <t>Kúlturális ágazati pótlék 1-11hó</t>
  </si>
  <si>
    <t>2018. ágazati pótlék 1-11 hó</t>
  </si>
  <si>
    <t>Egészségügyi pótlék 1-11 hó</t>
  </si>
  <si>
    <t>Folyószámlahitel* (hitelkeret=100.000.000 Ft) 2018</t>
  </si>
  <si>
    <t>ÉAOP Óvodabővítés saját erő hitel 2013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</si>
  <si>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</si>
  <si>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</si>
  <si>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</si>
  <si>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 xml:space="preserve">Varázsceruza óvoda részl.felújítása III.ütem 2018. </t>
  </si>
  <si>
    <t>Minimanó óvoda elektr.fel.+kazán+festés miatt felveendő hitel 2018</t>
  </si>
  <si>
    <t>Gépállomás út 3. szám tetőszig.+nyílászáró csere miatti hitel 2018</t>
  </si>
  <si>
    <t>Magiszter Alapítványi iskola tetőfelújítása</t>
  </si>
  <si>
    <t>Kornisné Központ végleges engedély miatti felújításhoz felveendő hitel 2018</t>
  </si>
  <si>
    <t>TSK TAO felhalmozási célú hitel 2018</t>
  </si>
  <si>
    <t>TSE TAO felhalmozási célú hitel 2018</t>
  </si>
  <si>
    <t>TSK TAO pályázata önerejéhez biztosított felhalmozási támogatás</t>
  </si>
  <si>
    <t>TSE TAO pályázata önerejéhez biztosított felhalmozási támogatás-2017</t>
  </si>
  <si>
    <t>TSE TAO pályázata önerejéhez biztosított felhalmozási támogatás-2018</t>
  </si>
  <si>
    <t>Varázsceruza Óvoda elektromos felújítás III. ütem</t>
  </si>
  <si>
    <t>Minimanó Óvoda elektromos felújítás, kazáncsere, festés</t>
  </si>
  <si>
    <t>Gépállomás utca 3. tetőszigetelés</t>
  </si>
  <si>
    <t>Magiszter Alapítványi Iskola tornaterem tetőszigetelés</t>
  </si>
  <si>
    <t>Kornisné Központ végleges engedély miatti felújítás</t>
  </si>
  <si>
    <t xml:space="preserve">TSE TAO hitel </t>
  </si>
  <si>
    <t xml:space="preserve">Varázsceruza óvoda részl.felújítása III.ütem  </t>
  </si>
  <si>
    <t xml:space="preserve">Minimanó óvoda elektr.fel.+kazán+festés miatt felveendő hitel </t>
  </si>
  <si>
    <t>Kornisné Központ végleges engedély miatti felújításhoz felveendő hitel</t>
  </si>
  <si>
    <t xml:space="preserve">TSK TAO felhalmozási célú hitel </t>
  </si>
  <si>
    <t xml:space="preserve">TSE TAO felhalmozási célú hitel </t>
  </si>
  <si>
    <t xml:space="preserve">Gépállomás út 3. szám tetőszigetelés miatti hitel 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</si>
  <si>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</si>
  <si>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</si>
  <si>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</si>
  <si>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</si>
  <si>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</si>
  <si>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</si>
  <si>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</si>
  <si>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>Tiszavasvári Város Önkormányzata
2018. ÉVI KÖLTSÉGVETÉSI ÉVET KÖVETŐ 3 ÉV TERVEZETT BEVÉTELEI, KIADÁSAI</t>
  </si>
  <si>
    <t xml:space="preserve">"
Tiszavasvári Város Önkormányzata
2018. ÉVI KÖLTSÉGVETÉSÉNEK PÉNZÜGYI MÉRLEGE"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</si>
</sst>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</numFmts>
  <fonts count="103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2"/>
      <name val="Times New Roman CE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u/>
      <sz val="12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sz val="8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8"/>
      <color indexed="10"/>
      <name val="Times New Roman CE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u/>
      <sz val="10"/>
      <color theme="1"/>
      <name val="Times New Roman CE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b/>
      <u/>
      <sz val="1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2" borderId="0" applyNumberFormat="0" applyBorder="0" applyAlignment="0" applyProtection="0"/>
    <xf numFmtId="0" fontId="43" fillId="6" borderId="0" applyNumberFormat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5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70" fillId="0" borderId="0"/>
    <xf numFmtId="0" fontId="46" fillId="0" borderId="0"/>
    <xf numFmtId="0" fontId="7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" fillId="0" borderId="0"/>
    <xf numFmtId="0" fontId="46" fillId="0" borderId="0"/>
    <xf numFmtId="0" fontId="12" fillId="0" borderId="0"/>
    <xf numFmtId="0" fontId="51" fillId="0" borderId="0"/>
    <xf numFmtId="0" fontId="4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64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horizontal="right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4" xfId="0" applyFont="1" applyBorder="1" applyAlignment="1" applyProtection="1">
      <alignment horizontal="left" vertical="center" indent="1"/>
      <protection locked="0"/>
    </xf>
    <xf numFmtId="3" fontId="29" fillId="0" borderId="17" xfId="0" applyNumberFormat="1" applyFont="1" applyBorder="1" applyAlignment="1" applyProtection="1">
      <alignment horizontal="right" vertical="center" indent="1"/>
      <protection locked="0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6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center" vertical="center" wrapText="1"/>
    </xf>
    <xf numFmtId="164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8" fillId="0" borderId="19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164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21" xfId="0" applyFont="1" applyFill="1" applyBorder="1" applyAlignment="1" applyProtection="1">
      <alignment vertical="center" wrapText="1"/>
      <protection locked="0"/>
    </xf>
    <xf numFmtId="164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Alignment="1">
      <alignment horizontal="right" vertical="center" wrapText="1"/>
    </xf>
    <xf numFmtId="0" fontId="0" fillId="0" borderId="0" xfId="0" applyFill="1" applyAlignment="1">
      <alignment horizontal="center" vertical="center" wrapText="1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4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4" fontId="20" fillId="0" borderId="14" xfId="23" applyNumberFormat="1" applyFont="1" applyFill="1" applyBorder="1" applyAlignment="1" applyProtection="1">
      <alignment vertical="center"/>
    </xf>
    <xf numFmtId="164" fontId="20" fillId="0" borderId="19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4" fontId="20" fillId="0" borderId="14" xfId="23" applyNumberFormat="1" applyFont="1" applyFill="1" applyBorder="1" applyProtection="1"/>
    <xf numFmtId="164" fontId="20" fillId="0" borderId="19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164" fontId="8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/>
    </xf>
    <xf numFmtId="164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40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41" fillId="0" borderId="0" xfId="0" applyFont="1" applyFill="1"/>
    <xf numFmtId="164" fontId="29" fillId="0" borderId="3" xfId="0" applyNumberFormat="1" applyFont="1" applyFill="1" applyBorder="1" applyAlignment="1" applyProtection="1">
      <alignment vertical="center"/>
      <protection locked="0"/>
    </xf>
    <xf numFmtId="164" fontId="29" fillId="0" borderId="2" xfId="0" applyNumberFormat="1" applyFont="1" applyFill="1" applyBorder="1" applyAlignment="1" applyProtection="1">
      <alignment vertical="center"/>
      <protection locked="0"/>
    </xf>
    <xf numFmtId="164" fontId="29" fillId="0" borderId="6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/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0" fontId="29" fillId="0" borderId="10" xfId="21" applyFont="1" applyFill="1" applyBorder="1" applyAlignment="1" applyProtection="1">
      <alignment horizontal="center" vertical="center"/>
    </xf>
    <xf numFmtId="0" fontId="29" fillId="0" borderId="6" xfId="21" applyFont="1" applyFill="1" applyBorder="1" applyProtection="1">
      <protection locked="0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left" vertical="center" wrapText="1"/>
    </xf>
    <xf numFmtId="164" fontId="8" fillId="0" borderId="14" xfId="0" applyNumberFormat="1" applyFont="1" applyFill="1" applyBorder="1" applyAlignment="1" applyProtection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0" fontId="26" fillId="0" borderId="5" xfId="0" applyFont="1" applyFill="1" applyBorder="1" applyAlignment="1" applyProtection="1">
      <alignment horizontal="left" vertical="center" wrapText="1" indent="8"/>
    </xf>
    <xf numFmtId="0" fontId="29" fillId="0" borderId="3" xfId="0" applyFont="1" applyFill="1" applyBorder="1" applyAlignment="1" applyProtection="1">
      <alignment vertical="center" wrapText="1"/>
    </xf>
    <xf numFmtId="0" fontId="29" fillId="0" borderId="2" xfId="0" applyFont="1" applyFill="1" applyBorder="1" applyAlignment="1" applyProtection="1">
      <alignment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4" fontId="28" fillId="0" borderId="25" xfId="0" applyNumberFormat="1" applyFont="1" applyFill="1" applyBorder="1" applyAlignment="1" applyProtection="1">
      <alignment vertical="center" wrapText="1"/>
    </xf>
    <xf numFmtId="164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4" fontId="15" fillId="8" borderId="27" xfId="0" applyNumberFormat="1" applyFont="1" applyFill="1" applyBorder="1" applyAlignment="1" applyProtection="1">
      <alignment horizontal="left" vertical="center" wrapText="1" indent="2"/>
    </xf>
    <xf numFmtId="3" fontId="31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18" xfId="0" applyNumberFormat="1" applyFont="1" applyFill="1" applyBorder="1" applyAlignment="1" applyProtection="1">
      <alignment vertical="center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0" fontId="41" fillId="0" borderId="0" xfId="0" applyFont="1" applyFill="1" applyProtection="1"/>
    <xf numFmtId="0" fontId="29" fillId="0" borderId="9" xfId="0" applyFont="1" applyFill="1" applyBorder="1" applyAlignment="1" applyProtection="1">
      <alignment horizontal="center" vertical="center"/>
    </xf>
    <xf numFmtId="164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164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4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4" fontId="28" fillId="0" borderId="14" xfId="0" applyNumberFormat="1" applyFont="1" applyFill="1" applyBorder="1" applyAlignment="1" applyProtection="1">
      <alignment vertical="center"/>
    </xf>
    <xf numFmtId="164" fontId="28" fillId="0" borderId="19" xfId="0" applyNumberFormat="1" applyFont="1" applyFill="1" applyBorder="1" applyAlignment="1" applyProtection="1">
      <alignment vertical="center"/>
    </xf>
    <xf numFmtId="0" fontId="0" fillId="0" borderId="36" xfId="0" applyFill="1" applyBorder="1" applyProtection="1"/>
    <xf numFmtId="0" fontId="6" fillId="0" borderId="36" xfId="0" applyFont="1" applyFill="1" applyBorder="1" applyAlignment="1" applyProtection="1">
      <alignment horizontal="center"/>
    </xf>
    <xf numFmtId="0" fontId="41" fillId="0" borderId="0" xfId="0" applyFont="1" applyFill="1" applyProtection="1">
      <protection locked="0"/>
    </xf>
    <xf numFmtId="0" fontId="34" fillId="0" borderId="0" xfId="0" applyFont="1" applyFill="1" applyProtection="1">
      <protection locked="0"/>
    </xf>
    <xf numFmtId="164" fontId="22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38" xfId="0" applyNumberFormat="1" applyFont="1" applyFill="1" applyBorder="1" applyAlignment="1" applyProtection="1">
      <alignment horizontal="center" vertical="center"/>
    </xf>
    <xf numFmtId="164" fontId="8" fillId="0" borderId="22" xfId="0" applyNumberFormat="1" applyFont="1" applyFill="1" applyBorder="1" applyAlignment="1" applyProtection="1">
      <alignment horizontal="center" vertical="center" wrapText="1"/>
    </xf>
    <xf numFmtId="164" fontId="20" fillId="0" borderId="19" xfId="0" applyNumberFormat="1" applyFont="1" applyFill="1" applyBorder="1" applyAlignment="1" applyProtection="1">
      <alignment horizontal="center" vertical="center" wrapText="1"/>
    </xf>
    <xf numFmtId="164" fontId="20" fillId="0" borderId="39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40" xfId="0" applyFont="1" applyBorder="1" applyAlignment="1" applyProtection="1">
      <alignment horizontal="lef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8" fillId="0" borderId="14" xfId="0" applyNumberFormat="1" applyFont="1" applyFill="1" applyBorder="1" applyAlignment="1" applyProtection="1">
      <alignment horizontal="righ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0" applyNumberFormat="1" applyFont="1" applyFill="1" applyBorder="1" applyAlignment="1" applyProtection="1">
      <alignment horizontal="right" vertical="center" wrapText="1" indent="1"/>
    </xf>
    <xf numFmtId="164" fontId="29" fillId="0" borderId="41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8" fillId="0" borderId="27" xfId="0" applyNumberFormat="1" applyFont="1" applyFill="1" applyBorder="1" applyAlignment="1" applyProtection="1">
      <alignment horizontal="center" vertical="center" wrapText="1"/>
    </xf>
    <xf numFmtId="164" fontId="28" fillId="0" borderId="13" xfId="0" applyNumberFormat="1" applyFont="1" applyFill="1" applyBorder="1" applyAlignment="1" applyProtection="1">
      <alignment horizontal="center" vertical="center" wrapText="1"/>
    </xf>
    <xf numFmtId="164" fontId="28" fillId="0" borderId="14" xfId="0" applyNumberFormat="1" applyFont="1" applyFill="1" applyBorder="1" applyAlignment="1" applyProtection="1">
      <alignment horizontal="center" vertical="center" wrapText="1"/>
    </xf>
    <xf numFmtId="164" fontId="28" fillId="0" borderId="19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3" xfId="0" applyNumberFormat="1" applyFill="1" applyBorder="1" applyAlignment="1" applyProtection="1">
      <alignment horizontal="left" vertical="center" wrapText="1" indent="1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22" fillId="0" borderId="44" xfId="0" applyNumberFormat="1" applyFont="1" applyFill="1" applyBorder="1" applyAlignment="1" applyProtection="1">
      <alignment horizontal="left" vertical="center" wrapText="1" indent="1"/>
    </xf>
    <xf numFmtId="164" fontId="31" fillId="0" borderId="27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1"/>
    </xf>
    <xf numFmtId="164" fontId="33" fillId="0" borderId="2" xfId="0" applyNumberFormat="1" applyFont="1" applyFill="1" applyBorder="1" applyAlignment="1" applyProtection="1">
      <alignment horizontal="right" vertical="center" wrapText="1" indent="1"/>
    </xf>
    <xf numFmtId="164" fontId="31" fillId="0" borderId="13" xfId="0" applyNumberFormat="1" applyFont="1" applyFill="1" applyBorder="1" applyAlignment="1" applyProtection="1">
      <alignment horizontal="left" vertical="center" wrapText="1" indent="1"/>
    </xf>
    <xf numFmtId="164" fontId="31" fillId="0" borderId="45" xfId="0" applyNumberFormat="1" applyFont="1" applyFill="1" applyBorder="1" applyAlignment="1" applyProtection="1">
      <alignment horizontal="right" vertical="center" wrapText="1" indent="1"/>
    </xf>
    <xf numFmtId="16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2"/>
    </xf>
    <xf numFmtId="164" fontId="33" fillId="0" borderId="2" xfId="0" applyNumberFormat="1" applyFont="1" applyFill="1" applyBorder="1" applyAlignment="1" applyProtection="1">
      <alignment horizontal="left" vertical="center" wrapText="1" indent="1"/>
    </xf>
    <xf numFmtId="164" fontId="29" fillId="0" borderId="9" xfId="0" applyNumberFormat="1" applyFon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2"/>
    </xf>
    <xf numFmtId="164" fontId="22" fillId="0" borderId="10" xfId="0" applyNumberFormat="1" applyFont="1" applyFill="1" applyBorder="1" applyAlignment="1" applyProtection="1">
      <alignment horizontal="left" vertical="center" wrapText="1" indent="2"/>
    </xf>
    <xf numFmtId="164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1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5" xfId="0" applyNumberFormat="1" applyFont="1" applyFill="1" applyBorder="1" applyAlignment="1" applyProtection="1">
      <alignment horizontal="right" vertical="center" wrapText="1" indent="1"/>
    </xf>
    <xf numFmtId="164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4" fontId="20" fillId="0" borderId="45" xfId="0" applyNumberFormat="1" applyFont="1" applyFill="1" applyBorder="1" applyAlignment="1" applyProtection="1">
      <alignment horizontal="righ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6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16" fillId="0" borderId="0" xfId="0" applyFont="1" applyAlignment="1">
      <alignment horizontal="center" wrapText="1"/>
    </xf>
    <xf numFmtId="0" fontId="42" fillId="0" borderId="0" xfId="0" applyFont="1" applyFill="1" applyBorder="1" applyAlignment="1" applyProtection="1">
      <alignment horizontal="right"/>
    </xf>
    <xf numFmtId="0" fontId="31" fillId="0" borderId="15" xfId="0" applyFont="1" applyBorder="1" applyAlignment="1" applyProtection="1">
      <alignment horizontal="center" vertical="center" wrapText="1"/>
    </xf>
    <xf numFmtId="0" fontId="31" fillId="0" borderId="16" xfId="0" applyFont="1" applyBorder="1" applyAlignment="1" applyProtection="1">
      <alignment horizontal="center" vertical="center"/>
    </xf>
    <xf numFmtId="0" fontId="31" fillId="0" borderId="28" xfId="0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4" fontId="0" fillId="0" borderId="39" xfId="0" applyNumberFormat="1" applyFill="1" applyBorder="1" applyAlignment="1" applyProtection="1">
      <alignment horizontal="lef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7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4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4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4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40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40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0" xfId="21" applyFont="1" applyFill="1"/>
    <xf numFmtId="0" fontId="28" fillId="0" borderId="13" xfId="21" applyFont="1" applyFill="1" applyBorder="1" applyAlignment="1" applyProtection="1">
      <alignment horizontal="center" vertical="center"/>
    </xf>
    <xf numFmtId="0" fontId="22" fillId="0" borderId="1" xfId="23" applyFont="1" applyFill="1" applyBorder="1" applyAlignment="1" applyProtection="1">
      <alignment horizontal="left" vertical="center" wrapText="1" indent="1"/>
    </xf>
    <xf numFmtId="164" fontId="33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1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5" fontId="15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4" fontId="0" fillId="0" borderId="0" xfId="0" applyNumberFormat="1" applyFill="1" applyAlignment="1" applyProtection="1">
      <alignment vertical="center" wrapText="1"/>
      <protection locked="0"/>
    </xf>
    <xf numFmtId="164" fontId="5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center" vertical="center" wrapText="1"/>
    </xf>
    <xf numFmtId="164" fontId="2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left" vertical="center" wrapText="1"/>
    </xf>
    <xf numFmtId="0" fontId="46" fillId="0" borderId="0" xfId="18"/>
    <xf numFmtId="0" fontId="15" fillId="0" borderId="0" xfId="18" applyFont="1"/>
    <xf numFmtId="0" fontId="55" fillId="0" borderId="0" xfId="18" applyFont="1" applyAlignment="1">
      <alignment horizontal="centerContinuous"/>
    </xf>
    <xf numFmtId="0" fontId="31" fillId="0" borderId="49" xfId="18" applyFont="1" applyBorder="1" applyAlignment="1">
      <alignment horizontal="center" vertical="center" wrapText="1"/>
    </xf>
    <xf numFmtId="0" fontId="46" fillId="0" borderId="0" xfId="18" applyFont="1"/>
    <xf numFmtId="0" fontId="29" fillId="0" borderId="16" xfId="0" applyFont="1" applyBorder="1" applyAlignment="1" applyProtection="1">
      <alignment horizontal="left" vertical="center" indent="1"/>
      <protection locked="0"/>
    </xf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3" fontId="62" fillId="0" borderId="2" xfId="0" applyNumberFormat="1" applyFont="1" applyFill="1" applyBorder="1" applyAlignment="1" applyProtection="1">
      <alignment vertical="center"/>
      <protection locked="0"/>
    </xf>
    <xf numFmtId="164" fontId="37" fillId="0" borderId="2" xfId="0" applyNumberFormat="1" applyFont="1" applyFill="1" applyBorder="1" applyAlignment="1" applyProtection="1">
      <alignment vertical="center" wrapText="1"/>
      <protection locked="0"/>
    </xf>
    <xf numFmtId="49" fontId="37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6" xfId="0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23" applyNumberFormat="1" applyFont="1" applyFill="1" applyBorder="1" applyAlignment="1" applyProtection="1">
      <alignment vertical="center"/>
      <protection locked="0"/>
    </xf>
    <xf numFmtId="164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40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40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4" fontId="20" fillId="0" borderId="26" xfId="21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6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18" applyFont="1" applyAlignment="1">
      <alignment horizontal="center"/>
    </xf>
    <xf numFmtId="166" fontId="46" fillId="0" borderId="0" xfId="18" applyNumberFormat="1" applyFont="1"/>
    <xf numFmtId="0" fontId="50" fillId="0" borderId="0" xfId="0" applyFont="1" applyFill="1"/>
    <xf numFmtId="167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9" xfId="21" applyNumberFormat="1" applyFont="1" applyFill="1" applyBorder="1" applyAlignment="1" applyProtection="1">
      <alignment horizontal="right" vertical="center" wrapText="1" indent="1"/>
    </xf>
    <xf numFmtId="164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" xfId="23" applyNumberFormat="1" applyFont="1" applyFill="1" applyBorder="1" applyAlignment="1" applyProtection="1">
      <alignment vertical="center"/>
      <protection locked="0"/>
    </xf>
    <xf numFmtId="164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vertical="center" wrapText="1"/>
      <protection locked="0"/>
    </xf>
    <xf numFmtId="0" fontId="63" fillId="0" borderId="0" xfId="0" applyFont="1" applyFill="1" applyAlignment="1">
      <alignment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0" xfId="0" applyNumberFormat="1" applyFont="1" applyFill="1" applyBorder="1" applyAlignment="1" applyProtection="1">
      <alignment horizontal="right" vertical="center" wrapText="1" indent="1"/>
      <protection locked="0"/>
    </xf>
    <xf numFmtId="0" fontId="67" fillId="0" borderId="0" xfId="0" applyFont="1" applyFill="1" applyAlignment="1" applyProtection="1">
      <alignment vertical="center" wrapText="1"/>
    </xf>
    <xf numFmtId="164" fontId="62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3" xfId="18" applyFont="1" applyBorder="1" applyAlignment="1">
      <alignment wrapText="1"/>
    </xf>
    <xf numFmtId="0" fontId="66" fillId="0" borderId="2" xfId="0" applyFont="1" applyBorder="1" applyAlignment="1" applyProtection="1">
      <alignment horizontal="left" vertical="center" indent="1"/>
      <protection locked="0"/>
    </xf>
    <xf numFmtId="164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33" xfId="21" applyFont="1" applyFill="1" applyBorder="1" applyAlignment="1">
      <alignment horizontal="center" vertical="center"/>
    </xf>
    <xf numFmtId="0" fontId="15" fillId="0" borderId="5" xfId="21" applyFont="1" applyFill="1" applyBorder="1" applyProtection="1">
      <protection locked="0"/>
    </xf>
    <xf numFmtId="0" fontId="15" fillId="0" borderId="42" xfId="21" applyFont="1" applyFill="1" applyBorder="1" applyAlignment="1">
      <alignment horizontal="center" vertical="center"/>
    </xf>
    <xf numFmtId="0" fontId="15" fillId="0" borderId="27" xfId="21" applyFont="1" applyFill="1" applyBorder="1" applyAlignment="1">
      <alignment horizontal="center" vertical="center"/>
    </xf>
    <xf numFmtId="0" fontId="15" fillId="0" borderId="43" xfId="18" applyFont="1" applyBorder="1" applyAlignment="1">
      <alignment wrapText="1"/>
    </xf>
    <xf numFmtId="164" fontId="35" fillId="0" borderId="24" xfId="21" applyNumberFormat="1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12" fillId="0" borderId="0" xfId="21" applyFill="1"/>
    <xf numFmtId="0" fontId="8" fillId="0" borderId="45" xfId="21" applyFont="1" applyFill="1" applyBorder="1" applyAlignment="1" applyProtection="1">
      <alignment horizontal="center" vertical="center" wrapText="1"/>
    </xf>
    <xf numFmtId="0" fontId="22" fillId="0" borderId="0" xfId="21" applyFont="1" applyFill="1"/>
    <xf numFmtId="164" fontId="20" fillId="0" borderId="14" xfId="21" applyNumberFormat="1" applyFont="1" applyFill="1" applyBorder="1" applyAlignment="1" applyProtection="1">
      <alignment horizontal="right" vertical="center" wrapText="1" indent="1"/>
    </xf>
    <xf numFmtId="164" fontId="20" fillId="0" borderId="45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4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5" xfId="21" applyNumberFormat="1" applyFont="1" applyFill="1" applyBorder="1" applyAlignment="1" applyProtection="1">
      <alignment horizontal="right" vertical="center" wrapText="1" indent="1"/>
    </xf>
    <xf numFmtId="164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5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2" xfId="21" applyFont="1" applyFill="1" applyBorder="1" applyAlignment="1" applyProtection="1">
      <alignment horizontal="center" vertical="center" wrapText="1"/>
    </xf>
    <xf numFmtId="0" fontId="7" fillId="0" borderId="52" xfId="21" applyFont="1" applyFill="1" applyBorder="1" applyAlignment="1" applyProtection="1">
      <alignment vertical="center" wrapText="1"/>
    </xf>
    <xf numFmtId="164" fontId="7" fillId="0" borderId="52" xfId="21" applyNumberFormat="1" applyFont="1" applyFill="1" applyBorder="1" applyAlignment="1" applyProtection="1">
      <alignment horizontal="right" vertical="center" wrapText="1" indent="1"/>
    </xf>
    <xf numFmtId="164" fontId="20" fillId="0" borderId="53" xfId="21" applyNumberFormat="1" applyFont="1" applyFill="1" applyBorder="1" applyAlignment="1" applyProtection="1">
      <alignment horizontal="right" vertical="center" wrapText="1" indent="1"/>
    </xf>
    <xf numFmtId="164" fontId="22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5" xfId="0" applyNumberFormat="1" applyFont="1" applyBorder="1" applyAlignment="1" applyProtection="1">
      <alignment horizontal="right" vertical="center" wrapText="1" indent="1"/>
    </xf>
    <xf numFmtId="164" fontId="25" fillId="0" borderId="14" xfId="0" quotePrefix="1" applyNumberFormat="1" applyFont="1" applyBorder="1" applyAlignment="1" applyProtection="1">
      <alignment horizontal="right" vertical="center" wrapText="1" indent="1"/>
    </xf>
    <xf numFmtId="164" fontId="25" fillId="0" borderId="45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0" fontId="22" fillId="0" borderId="52" xfId="21" applyFont="1" applyFill="1" applyBorder="1" applyAlignment="1" applyProtection="1">
      <alignment horizontal="right" vertical="center" wrapText="1" indent="1"/>
    </xf>
    <xf numFmtId="164" fontId="29" fillId="0" borderId="52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 applyBorder="1" applyProtection="1"/>
    <xf numFmtId="0" fontId="20" fillId="0" borderId="53" xfId="21" applyFont="1" applyFill="1" applyBorder="1" applyAlignment="1" applyProtection="1">
      <alignment horizontal="center" vertical="center" wrapText="1"/>
    </xf>
    <xf numFmtId="0" fontId="28" fillId="0" borderId="25" xfId="21" applyFont="1" applyFill="1" applyBorder="1" applyAlignment="1" applyProtection="1">
      <alignment vertical="center" wrapText="1"/>
    </xf>
    <xf numFmtId="164" fontId="28" fillId="0" borderId="25" xfId="21" applyNumberFormat="1" applyFont="1" applyFill="1" applyBorder="1" applyAlignment="1" applyProtection="1">
      <alignment horizontal="right" vertical="center" wrapText="1" indent="1"/>
    </xf>
    <xf numFmtId="164" fontId="28" fillId="0" borderId="46" xfId="21" applyNumberFormat="1" applyFont="1" applyFill="1" applyBorder="1" applyAlignment="1" applyProtection="1">
      <alignment horizontal="right" vertical="center" wrapText="1" indent="1"/>
    </xf>
    <xf numFmtId="164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45" xfId="0" quotePrefix="1" applyNumberFormat="1" applyFont="1" applyBorder="1" applyAlignment="1" applyProtection="1">
      <alignment horizontal="right" vertical="center" wrapText="1" indent="1"/>
      <protection locked="0"/>
    </xf>
    <xf numFmtId="164" fontId="29" fillId="0" borderId="3" xfId="0" applyNumberFormat="1" applyFont="1" applyFill="1" applyBorder="1" applyAlignment="1" applyProtection="1">
      <alignment vertical="center" wrapText="1"/>
      <protection locked="0"/>
    </xf>
    <xf numFmtId="164" fontId="20" fillId="0" borderId="13" xfId="0" applyNumberFormat="1" applyFont="1" applyFill="1" applyBorder="1" applyAlignment="1" applyProtection="1">
      <alignment horizontal="center" vertical="center" wrapText="1"/>
    </xf>
    <xf numFmtId="164" fontId="20" fillId="0" borderId="14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39" fillId="0" borderId="5" xfId="0" applyFont="1" applyBorder="1" applyAlignment="1">
      <alignment horizontal="justify" wrapText="1"/>
    </xf>
    <xf numFmtId="0" fontId="39" fillId="0" borderId="5" xfId="0" applyFont="1" applyBorder="1" applyAlignment="1">
      <alignment wrapText="1"/>
    </xf>
    <xf numFmtId="0" fontId="39" fillId="0" borderId="55" xfId="0" applyFont="1" applyBorder="1" applyAlignment="1">
      <alignment wrapText="1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6" xfId="21" applyFont="1" applyFill="1" applyBorder="1" applyProtection="1"/>
    <xf numFmtId="0" fontId="29" fillId="0" borderId="12" xfId="21" applyFont="1" applyFill="1" applyBorder="1" applyAlignment="1" applyProtection="1">
      <alignment horizontal="center" vertical="center"/>
    </xf>
    <xf numFmtId="0" fontId="29" fillId="0" borderId="4" xfId="21" applyFont="1" applyFill="1" applyBorder="1" applyAlignment="1" applyProtection="1">
      <alignment horizontal="left"/>
      <protection locked="0"/>
    </xf>
    <xf numFmtId="164" fontId="37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63" fillId="0" borderId="0" xfId="0" applyNumberFormat="1" applyFont="1" applyFill="1" applyAlignment="1">
      <alignment horizontal="center" vertical="center" wrapText="1"/>
    </xf>
    <xf numFmtId="164" fontId="69" fillId="0" borderId="0" xfId="0" applyNumberFormat="1" applyFont="1" applyFill="1" applyAlignment="1">
      <alignment horizontal="center" vertical="center" wrapText="1"/>
    </xf>
    <xf numFmtId="0" fontId="15" fillId="0" borderId="42" xfId="18" applyFont="1" applyBorder="1" applyAlignment="1">
      <alignment wrapText="1"/>
    </xf>
    <xf numFmtId="0" fontId="46" fillId="0" borderId="57" xfId="18" applyFont="1" applyBorder="1"/>
    <xf numFmtId="3" fontId="31" fillId="0" borderId="58" xfId="18" applyNumberFormat="1" applyFont="1" applyBorder="1" applyAlignment="1">
      <alignment horizontal="center" vertical="center" wrapText="1"/>
    </xf>
    <xf numFmtId="3" fontId="41" fillId="0" borderId="51" xfId="18" applyNumberFormat="1" applyFont="1" applyBorder="1" applyAlignment="1">
      <alignment horizontal="right" indent="2"/>
    </xf>
    <xf numFmtId="3" fontId="46" fillId="0" borderId="32" xfId="18" applyNumberFormat="1" applyBorder="1" applyAlignment="1">
      <alignment horizontal="right" indent="2"/>
    </xf>
    <xf numFmtId="0" fontId="31" fillId="0" borderId="59" xfId="18" applyFont="1" applyBorder="1" applyAlignment="1">
      <alignment horizontal="left" vertical="center" wrapText="1"/>
    </xf>
    <xf numFmtId="0" fontId="24" fillId="0" borderId="42" xfId="18" applyFont="1" applyBorder="1" applyAlignment="1">
      <alignment wrapText="1"/>
    </xf>
    <xf numFmtId="0" fontId="12" fillId="0" borderId="43" xfId="18" applyFont="1" applyBorder="1" applyAlignment="1">
      <alignment wrapText="1"/>
    </xf>
    <xf numFmtId="0" fontId="15" fillId="0" borderId="43" xfId="18" applyFont="1" applyBorder="1"/>
    <xf numFmtId="164" fontId="15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5" xfId="21" applyFont="1" applyFill="1" applyBorder="1" applyAlignment="1" applyProtection="1">
      <alignment wrapText="1"/>
      <protection locked="0"/>
    </xf>
    <xf numFmtId="164" fontId="20" fillId="0" borderId="61" xfId="0" applyNumberFormat="1" applyFont="1" applyFill="1" applyBorder="1" applyAlignment="1" applyProtection="1">
      <alignment horizontal="center" vertical="center" wrapText="1"/>
    </xf>
    <xf numFmtId="164" fontId="20" fillId="0" borderId="62" xfId="0" applyNumberFormat="1" applyFont="1" applyFill="1" applyBorder="1" applyAlignment="1" applyProtection="1">
      <alignment horizontal="center" vertical="center" wrapText="1"/>
    </xf>
    <xf numFmtId="164" fontId="20" fillId="0" borderId="63" xfId="0" applyNumberFormat="1" applyFont="1" applyFill="1" applyBorder="1" applyAlignment="1" applyProtection="1">
      <alignment horizontal="center" vertical="center" wrapText="1"/>
    </xf>
    <xf numFmtId="164" fontId="20" fillId="0" borderId="64" xfId="0" applyNumberFormat="1" applyFont="1" applyFill="1" applyBorder="1" applyAlignment="1" applyProtection="1">
      <alignment horizontal="center" vertical="center" wrapText="1"/>
    </xf>
    <xf numFmtId="164" fontId="20" fillId="0" borderId="28" xfId="0" applyNumberFormat="1" applyFont="1" applyFill="1" applyBorder="1" applyAlignment="1" applyProtection="1">
      <alignment horizontal="center" vertical="center" wrapText="1"/>
    </xf>
    <xf numFmtId="3" fontId="28" fillId="0" borderId="26" xfId="0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1" xfId="0" applyNumberFormat="1" applyFont="1" applyFill="1" applyBorder="1" applyAlignment="1" applyProtection="1">
      <alignment horizontal="center" vertical="center" wrapText="1"/>
    </xf>
    <xf numFmtId="164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4" fontId="20" fillId="0" borderId="12" xfId="0" applyNumberFormat="1" applyFont="1" applyFill="1" applyBorder="1" applyAlignment="1" applyProtection="1">
      <alignment horizontal="center" vertical="center" wrapText="1"/>
    </xf>
    <xf numFmtId="1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5" xfId="0" applyFont="1" applyBorder="1" applyAlignment="1" applyProtection="1">
      <alignment horizontal="left" wrapText="1" indent="1"/>
    </xf>
    <xf numFmtId="0" fontId="26" fillId="0" borderId="50" xfId="0" applyFont="1" applyBorder="1" applyAlignment="1" applyProtection="1">
      <alignment horizontal="left" wrapText="1" indent="1"/>
    </xf>
    <xf numFmtId="0" fontId="26" fillId="0" borderId="66" xfId="0" applyFont="1" applyBorder="1" applyAlignment="1" applyProtection="1">
      <alignment horizontal="left" wrapText="1" indent="1"/>
    </xf>
    <xf numFmtId="164" fontId="6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51" xfId="21" applyNumberFormat="1" applyFont="1" applyFill="1" applyBorder="1" applyAlignment="1" applyProtection="1">
      <alignment horizontal="right" vertical="center" wrapText="1" indent="1"/>
    </xf>
    <xf numFmtId="164" fontId="29" fillId="0" borderId="5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67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68" xfId="21" applyFont="1" applyFill="1" applyBorder="1" applyAlignment="1" applyProtection="1">
      <alignment wrapTex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4" fontId="20" fillId="0" borderId="7" xfId="0" applyNumberFormat="1" applyFont="1" applyFill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</xf>
    <xf numFmtId="164" fontId="20" fillId="0" borderId="41" xfId="0" applyNumberFormat="1" applyFont="1" applyFill="1" applyBorder="1" applyAlignment="1" applyProtection="1">
      <alignment horizontal="center" vertical="center" wrapText="1"/>
    </xf>
    <xf numFmtId="49" fontId="3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6" xfId="0" applyFont="1" applyFill="1" applyBorder="1" applyAlignment="1" applyProtection="1">
      <alignment horizontal="left" vertical="center" wrapText="1" indent="1"/>
    </xf>
    <xf numFmtId="164" fontId="29" fillId="0" borderId="5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0" xfId="21" applyNumberFormat="1" applyFont="1" applyFill="1" applyBorder="1" applyAlignment="1" applyProtection="1">
      <alignment horizontal="right" vertical="center" wrapText="1" indent="1"/>
    </xf>
    <xf numFmtId="164" fontId="29" fillId="0" borderId="18" xfId="21" applyNumberFormat="1" applyFont="1" applyFill="1" applyBorder="1" applyAlignment="1" applyProtection="1">
      <alignment horizontal="righ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164" fontId="20" fillId="0" borderId="14" xfId="0" applyNumberFormat="1" applyFont="1" applyFill="1" applyBorder="1" applyAlignment="1" applyProtection="1">
      <alignment vertical="center" wrapText="1"/>
    </xf>
    <xf numFmtId="0" fontId="20" fillId="0" borderId="69" xfId="21" applyFont="1" applyFill="1" applyBorder="1" applyAlignment="1" applyProtection="1">
      <alignment horizontal="center" vertical="center" wrapText="1"/>
    </xf>
    <xf numFmtId="164" fontId="30" fillId="0" borderId="45" xfId="0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</xf>
    <xf numFmtId="164" fontId="22" fillId="0" borderId="23" xfId="21" applyNumberFormat="1" applyFont="1" applyFill="1" applyBorder="1" applyAlignment="1" applyProtection="1">
      <alignment horizontal="right" vertical="center" wrapText="1" indent="1"/>
    </xf>
    <xf numFmtId="164" fontId="22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2" fillId="0" borderId="0" xfId="21" applyNumberFormat="1" applyFill="1" applyProtection="1"/>
    <xf numFmtId="0" fontId="15" fillId="0" borderId="43" xfId="21" applyFont="1" applyFill="1" applyBorder="1" applyAlignment="1">
      <alignment horizontal="center" vertical="center"/>
    </xf>
    <xf numFmtId="166" fontId="29" fillId="0" borderId="17" xfId="10" applyNumberFormat="1" applyFont="1" applyFill="1" applyBorder="1" applyProtection="1">
      <protection locked="0"/>
    </xf>
    <xf numFmtId="166" fontId="29" fillId="0" borderId="18" xfId="10" applyNumberFormat="1" applyFont="1" applyFill="1" applyBorder="1" applyProtection="1">
      <protection locked="0"/>
    </xf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2" fillId="0" borderId="2" xfId="0" applyNumberFormat="1" applyFont="1" applyFill="1" applyBorder="1" applyAlignment="1" applyProtection="1">
      <alignment vertical="center"/>
      <protection locked="0"/>
    </xf>
    <xf numFmtId="164" fontId="7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5" applyFont="1"/>
    <xf numFmtId="0" fontId="46" fillId="0" borderId="0" xfId="25"/>
    <xf numFmtId="0" fontId="53" fillId="0" borderId="0" xfId="25" applyFont="1" applyAlignment="1">
      <alignment horizontal="centerContinuous"/>
    </xf>
    <xf numFmtId="0" fontId="53" fillId="0" borderId="0" xfId="22" applyFont="1" applyAlignment="1">
      <alignment horizontal="centerContinuous"/>
    </xf>
    <xf numFmtId="0" fontId="52" fillId="0" borderId="0" xfId="25" applyFont="1" applyAlignment="1">
      <alignment horizontal="centerContinuous"/>
    </xf>
    <xf numFmtId="0" fontId="52" fillId="0" borderId="0" xfId="22" applyFont="1" applyFill="1" applyAlignment="1">
      <alignment horizontal="centerContinuous"/>
    </xf>
    <xf numFmtId="0" fontId="48" fillId="0" borderId="0" xfId="25" applyFont="1" applyAlignment="1">
      <alignment horizontal="centerContinuous"/>
    </xf>
    <xf numFmtId="0" fontId="61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0" fontId="29" fillId="0" borderId="8" xfId="25" applyFont="1" applyBorder="1" applyAlignment="1">
      <alignment horizontal="left"/>
    </xf>
    <xf numFmtId="0" fontId="46" fillId="0" borderId="0" xfId="25" applyFont="1"/>
    <xf numFmtId="3" fontId="46" fillId="0" borderId="0" xfId="25" applyNumberFormat="1"/>
    <xf numFmtId="0" fontId="64" fillId="0" borderId="0" xfId="25" applyFont="1"/>
    <xf numFmtId="0" fontId="3" fillId="0" borderId="0" xfId="20" applyFont="1"/>
    <xf numFmtId="0" fontId="46" fillId="0" borderId="0" xfId="20"/>
    <xf numFmtId="0" fontId="9" fillId="0" borderId="0" xfId="20" applyFont="1" applyAlignment="1">
      <alignment horizontal="center"/>
    </xf>
    <xf numFmtId="0" fontId="48" fillId="0" borderId="0" xfId="20" applyFont="1" applyAlignment="1">
      <alignment horizontal="centerContinuous"/>
    </xf>
    <xf numFmtId="0" fontId="7" fillId="0" borderId="64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3" fillId="0" borderId="53" xfId="20" applyFont="1" applyBorder="1" applyAlignment="1">
      <alignment vertical="center"/>
    </xf>
    <xf numFmtId="0" fontId="46" fillId="0" borderId="0" xfId="20" applyAlignment="1">
      <alignment vertical="center"/>
    </xf>
    <xf numFmtId="0" fontId="46" fillId="0" borderId="0" xfId="20" applyFill="1" applyBorder="1"/>
    <xf numFmtId="0" fontId="46" fillId="0" borderId="0" xfId="20" applyBorder="1"/>
    <xf numFmtId="164" fontId="20" fillId="0" borderId="9" xfId="0" applyNumberFormat="1" applyFont="1" applyFill="1" applyBorder="1" applyAlignment="1" applyProtection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center" vertical="center" wrapText="1"/>
    </xf>
    <xf numFmtId="0" fontId="46" fillId="0" borderId="0" xfId="19"/>
    <xf numFmtId="0" fontId="22" fillId="0" borderId="0" xfId="19" applyFont="1"/>
    <xf numFmtId="0" fontId="20" fillId="0" borderId="0" xfId="19" applyFont="1"/>
    <xf numFmtId="0" fontId="71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49" fontId="48" fillId="0" borderId="0" xfId="19" applyNumberFormat="1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8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7" fillId="0" borderId="64" xfId="19" applyFont="1" applyBorder="1"/>
    <xf numFmtId="0" fontId="7" fillId="0" borderId="52" xfId="19" applyFont="1" applyBorder="1" applyAlignment="1">
      <alignment horizontal="center"/>
    </xf>
    <xf numFmtId="0" fontId="35" fillId="0" borderId="44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9" xfId="19" applyFont="1" applyBorder="1" applyAlignment="1">
      <alignment horizontal="center"/>
    </xf>
    <xf numFmtId="0" fontId="19" fillId="0" borderId="61" xfId="19" applyFont="1" applyBorder="1"/>
    <xf numFmtId="0" fontId="8" fillId="0" borderId="7" xfId="19" applyFont="1" applyBorder="1" applyAlignment="1">
      <alignment horizontal="center"/>
    </xf>
    <xf numFmtId="0" fontId="8" fillId="0" borderId="1" xfId="19" applyFont="1" applyBorder="1" applyAlignment="1">
      <alignment horizontal="center"/>
    </xf>
    <xf numFmtId="0" fontId="8" fillId="0" borderId="41" xfId="19" applyFont="1" applyBorder="1" applyAlignment="1">
      <alignment horizontal="center"/>
    </xf>
    <xf numFmtId="0" fontId="8" fillId="0" borderId="0" xfId="19" applyFont="1" applyBorder="1" applyAlignment="1">
      <alignment horizontal="center"/>
    </xf>
    <xf numFmtId="3" fontId="37" fillId="0" borderId="56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right"/>
    </xf>
    <xf numFmtId="3" fontId="8" fillId="0" borderId="17" xfId="19" applyNumberFormat="1" applyFont="1" applyBorder="1"/>
    <xf numFmtId="3" fontId="8" fillId="0" borderId="52" xfId="19" applyNumberFormat="1" applyFont="1" applyBorder="1"/>
    <xf numFmtId="3" fontId="37" fillId="0" borderId="11" xfId="19" applyNumberFormat="1" applyFont="1" applyBorder="1" applyAlignment="1">
      <alignment horizontal="right"/>
    </xf>
    <xf numFmtId="3" fontId="37" fillId="0" borderId="4" xfId="19" applyNumberFormat="1" applyFont="1" applyBorder="1" applyAlignment="1"/>
    <xf numFmtId="3" fontId="30" fillId="0" borderId="17" xfId="19" applyNumberFormat="1" applyFont="1" applyBorder="1"/>
    <xf numFmtId="0" fontId="47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9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0" fontId="37" fillId="0" borderId="43" xfId="19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50" xfId="19" applyNumberFormat="1" applyFont="1" applyBorder="1"/>
    <xf numFmtId="49" fontId="37" fillId="0" borderId="43" xfId="19" applyNumberFormat="1" applyFont="1" applyBorder="1"/>
    <xf numFmtId="3" fontId="61" fillId="0" borderId="2" xfId="19" applyNumberFormat="1" applyFont="1" applyBorder="1"/>
    <xf numFmtId="3" fontId="61" fillId="0" borderId="5" xfId="19" applyNumberFormat="1" applyFont="1" applyBorder="1"/>
    <xf numFmtId="3" fontId="21" fillId="0" borderId="39" xfId="19" applyNumberFormat="1" applyFont="1" applyBorder="1"/>
    <xf numFmtId="3" fontId="61" fillId="0" borderId="8" xfId="19" applyNumberFormat="1" applyFont="1" applyBorder="1"/>
    <xf numFmtId="49" fontId="61" fillId="0" borderId="43" xfId="19" applyNumberFormat="1" applyFont="1" applyBorder="1"/>
    <xf numFmtId="3" fontId="21" fillId="0" borderId="18" xfId="19" applyNumberFormat="1" applyFont="1" applyBorder="1"/>
    <xf numFmtId="3" fontId="35" fillId="0" borderId="18" xfId="19" applyNumberFormat="1" applyFont="1" applyBorder="1"/>
    <xf numFmtId="3" fontId="37" fillId="0" borderId="75" xfId="19" applyNumberFormat="1" applyFont="1" applyBorder="1"/>
    <xf numFmtId="3" fontId="37" fillId="0" borderId="6" xfId="19" applyNumberFormat="1" applyFont="1" applyBorder="1"/>
    <xf numFmtId="3" fontId="61" fillId="0" borderId="6" xfId="19" applyNumberFormat="1" applyFont="1" applyBorder="1"/>
    <xf numFmtId="3" fontId="30" fillId="0" borderId="23" xfId="19" applyNumberFormat="1" applyFont="1" applyBorder="1"/>
    <xf numFmtId="3" fontId="21" fillId="0" borderId="57" xfId="19" applyNumberFormat="1" applyFont="1" applyBorder="1"/>
    <xf numFmtId="3" fontId="37" fillId="0" borderId="10" xfId="19" applyNumberFormat="1" applyFont="1" applyBorder="1"/>
    <xf numFmtId="3" fontId="37" fillId="0" borderId="75" xfId="19" applyNumberFormat="1" applyFont="1" applyFill="1" applyBorder="1"/>
    <xf numFmtId="3" fontId="37" fillId="0" borderId="6" xfId="19" applyNumberFormat="1" applyFont="1" applyFill="1" applyBorder="1"/>
    <xf numFmtId="0" fontId="8" fillId="0" borderId="42" xfId="19" applyFont="1" applyBorder="1"/>
    <xf numFmtId="3" fontId="8" fillId="0" borderId="56" xfId="19" applyNumberFormat="1" applyFont="1" applyBorder="1"/>
    <xf numFmtId="3" fontId="8" fillId="0" borderId="11" xfId="19" applyNumberFormat="1" applyFont="1" applyBorder="1"/>
    <xf numFmtId="3" fontId="8" fillId="0" borderId="59" xfId="19" applyNumberFormat="1" applyFont="1" applyBorder="1"/>
    <xf numFmtId="3" fontId="46" fillId="0" borderId="0" xfId="19" applyNumberFormat="1"/>
    <xf numFmtId="0" fontId="19" fillId="0" borderId="43" xfId="19" quotePrefix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30" fillId="0" borderId="2" xfId="19" applyNumberFormat="1" applyFont="1" applyBorder="1"/>
    <xf numFmtId="3" fontId="19" fillId="0" borderId="18" xfId="19" applyNumberFormat="1" applyFont="1" applyBorder="1"/>
    <xf numFmtId="0" fontId="8" fillId="0" borderId="76" xfId="19" applyFont="1" applyBorder="1"/>
    <xf numFmtId="3" fontId="8" fillId="0" borderId="55" xfId="19" applyNumberFormat="1" applyFont="1" applyBorder="1"/>
    <xf numFmtId="3" fontId="8" fillId="0" borderId="21" xfId="19" applyNumberFormat="1" applyFont="1" applyBorder="1"/>
    <xf numFmtId="3" fontId="8" fillId="0" borderId="76" xfId="19" applyNumberFormat="1" applyFont="1" applyBorder="1"/>
    <xf numFmtId="3" fontId="8" fillId="0" borderId="22" xfId="19" applyNumberFormat="1" applyFont="1" applyBorder="1"/>
    <xf numFmtId="0" fontId="59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9" fillId="0" borderId="0" xfId="19" applyNumberFormat="1" applyFont="1" applyFill="1" applyBorder="1"/>
    <xf numFmtId="3" fontId="59" fillId="0" borderId="0" xfId="19" applyNumberFormat="1" applyFont="1" applyBorder="1"/>
    <xf numFmtId="3" fontId="60" fillId="0" borderId="0" xfId="19" applyNumberFormat="1" applyFont="1" applyBorder="1"/>
    <xf numFmtId="0" fontId="29" fillId="0" borderId="8" xfId="21" applyFont="1" applyFill="1" applyBorder="1" applyAlignment="1" applyProtection="1">
      <alignment horizontal="left"/>
      <protection locked="0"/>
    </xf>
    <xf numFmtId="164" fontId="63" fillId="0" borderId="0" xfId="0" applyNumberFormat="1" applyFont="1" applyFill="1" applyAlignment="1">
      <alignment vertical="center" wrapText="1"/>
    </xf>
    <xf numFmtId="164" fontId="58" fillId="0" borderId="17" xfId="0" applyNumberFormat="1" applyFont="1" applyFill="1" applyBorder="1" applyAlignment="1" applyProtection="1">
      <alignment vertical="center" wrapText="1"/>
    </xf>
    <xf numFmtId="164" fontId="58" fillId="0" borderId="18" xfId="0" applyNumberFormat="1" applyFont="1" applyFill="1" applyBorder="1" applyAlignment="1" applyProtection="1">
      <alignment vertical="center" wrapText="1"/>
    </xf>
    <xf numFmtId="164" fontId="29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50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164" fontId="29" fillId="0" borderId="18" xfId="23" applyNumberFormat="1" applyFont="1" applyFill="1" applyBorder="1" applyAlignment="1" applyProtection="1">
      <alignment vertical="center"/>
    </xf>
    <xf numFmtId="0" fontId="8" fillId="0" borderId="40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0" fontId="37" fillId="0" borderId="59" xfId="19" applyFont="1" applyBorder="1"/>
    <xf numFmtId="0" fontId="37" fillId="0" borderId="57" xfId="19" applyFont="1" applyBorder="1"/>
    <xf numFmtId="0" fontId="37" fillId="0" borderId="39" xfId="19" applyFont="1" applyBorder="1"/>
    <xf numFmtId="164" fontId="72" fillId="0" borderId="18" xfId="21" applyNumberFormat="1" applyFont="1" applyFill="1" applyBorder="1" applyAlignment="1" applyProtection="1">
      <alignment horizontal="right" vertical="center" wrapText="1" indent="1"/>
    </xf>
    <xf numFmtId="164" fontId="72" fillId="0" borderId="20" xfId="21" applyNumberFormat="1" applyFont="1" applyFill="1" applyBorder="1" applyAlignment="1" applyProtection="1">
      <alignment horizontal="right" vertical="center" wrapText="1" indent="1"/>
    </xf>
    <xf numFmtId="164" fontId="22" fillId="0" borderId="28" xfId="21" applyNumberFormat="1" applyFont="1" applyFill="1" applyBorder="1" applyAlignment="1" applyProtection="1">
      <alignment horizontal="right" vertical="center" wrapText="1" indent="1"/>
    </xf>
    <xf numFmtId="164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20" xfId="0" applyNumberFormat="1" applyFont="1" applyFill="1" applyBorder="1" applyAlignment="1" applyProtection="1">
      <alignment vertical="center" wrapText="1"/>
    </xf>
    <xf numFmtId="164" fontId="77" fillId="0" borderId="0" xfId="0" applyNumberFormat="1" applyFont="1" applyFill="1" applyAlignment="1">
      <alignment vertical="center" wrapText="1"/>
    </xf>
    <xf numFmtId="164" fontId="78" fillId="0" borderId="18" xfId="0" applyNumberFormat="1" applyFont="1" applyFill="1" applyBorder="1" applyAlignment="1" applyProtection="1">
      <alignment vertical="center" wrapText="1"/>
    </xf>
    <xf numFmtId="164" fontId="72" fillId="0" borderId="2" xfId="0" applyNumberFormat="1" applyFont="1" applyFill="1" applyBorder="1" applyAlignment="1" applyProtection="1">
      <alignment vertical="center" wrapText="1"/>
      <protection locked="0"/>
    </xf>
    <xf numFmtId="164" fontId="72" fillId="0" borderId="18" xfId="0" applyNumberFormat="1" applyFont="1" applyFill="1" applyBorder="1" applyAlignment="1" applyProtection="1">
      <alignment vertical="center" wrapText="1"/>
    </xf>
    <xf numFmtId="164" fontId="75" fillId="0" borderId="18" xfId="0" applyNumberFormat="1" applyFont="1" applyFill="1" applyBorder="1" applyAlignment="1" applyProtection="1">
      <alignment vertical="center" wrapText="1"/>
    </xf>
    <xf numFmtId="164" fontId="79" fillId="0" borderId="0" xfId="0" applyNumberFormat="1" applyFont="1" applyFill="1" applyAlignment="1">
      <alignment vertical="center" wrapText="1"/>
    </xf>
    <xf numFmtId="164" fontId="80" fillId="0" borderId="18" xfId="0" applyNumberFormat="1" applyFont="1" applyFill="1" applyBorder="1" applyAlignment="1" applyProtection="1">
      <alignment vertical="center" wrapText="1"/>
    </xf>
    <xf numFmtId="164" fontId="81" fillId="0" borderId="2" xfId="0" applyNumberFormat="1" applyFont="1" applyFill="1" applyBorder="1" applyAlignment="1" applyProtection="1">
      <alignment vertical="center" wrapText="1"/>
      <protection locked="0"/>
    </xf>
    <xf numFmtId="164" fontId="81" fillId="0" borderId="18" xfId="0" applyNumberFormat="1" applyFont="1" applyFill="1" applyBorder="1" applyAlignment="1" applyProtection="1">
      <alignment vertical="center" wrapText="1"/>
    </xf>
    <xf numFmtId="164" fontId="78" fillId="0" borderId="23" xfId="0" applyNumberFormat="1" applyFont="1" applyFill="1" applyBorder="1" applyAlignment="1" applyProtection="1">
      <alignment vertical="center" wrapText="1"/>
    </xf>
    <xf numFmtId="164" fontId="82" fillId="0" borderId="0" xfId="0" applyNumberFormat="1" applyFont="1" applyFill="1" applyAlignment="1">
      <alignment vertical="center" wrapText="1"/>
    </xf>
    <xf numFmtId="164" fontId="83" fillId="0" borderId="0" xfId="0" applyNumberFormat="1" applyFont="1" applyFill="1" applyAlignment="1">
      <alignment vertical="center" wrapText="1"/>
    </xf>
    <xf numFmtId="164" fontId="85" fillId="0" borderId="0" xfId="0" applyNumberFormat="1" applyFont="1" applyFill="1" applyAlignment="1">
      <alignment vertical="center" wrapText="1"/>
    </xf>
    <xf numFmtId="164" fontId="73" fillId="0" borderId="0" xfId="0" applyNumberFormat="1" applyFont="1" applyFill="1" applyAlignment="1">
      <alignment vertical="center" wrapText="1"/>
    </xf>
    <xf numFmtId="164" fontId="29" fillId="0" borderId="4" xfId="0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84" fillId="0" borderId="6" xfId="0" applyNumberFormat="1" applyFont="1" applyFill="1" applyBorder="1" applyAlignment="1" applyProtection="1">
      <alignment vertical="center" wrapText="1"/>
      <protection locked="0"/>
    </xf>
    <xf numFmtId="49" fontId="84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" xfId="0" applyNumberFormat="1" applyFont="1" applyFill="1" applyBorder="1" applyAlignment="1" applyProtection="1">
      <alignment vertical="center" wrapText="1"/>
      <protection locked="0"/>
    </xf>
    <xf numFmtId="49" fontId="3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Alignment="1" applyProtection="1">
      <alignment horizontal="right" vertical="top"/>
    </xf>
    <xf numFmtId="49" fontId="87" fillId="0" borderId="17" xfId="0" applyNumberFormat="1" applyFont="1" applyFill="1" applyBorder="1" applyAlignment="1" applyProtection="1">
      <alignment horizontal="right" vertical="center"/>
    </xf>
    <xf numFmtId="49" fontId="87" fillId="0" borderId="46" xfId="0" applyNumberFormat="1" applyFont="1" applyFill="1" applyBorder="1" applyAlignment="1" applyProtection="1">
      <alignment horizontal="right" vertical="center"/>
    </xf>
    <xf numFmtId="0" fontId="88" fillId="0" borderId="0" xfId="0" applyFont="1" applyFill="1" applyAlignment="1" applyProtection="1">
      <alignment horizontal="right"/>
    </xf>
    <xf numFmtId="0" fontId="87" fillId="0" borderId="28" xfId="0" applyFont="1" applyFill="1" applyBorder="1" applyAlignment="1" applyProtection="1">
      <alignment horizontal="center" vertical="center" wrapText="1"/>
    </xf>
    <xf numFmtId="0" fontId="80" fillId="0" borderId="19" xfId="0" applyFont="1" applyFill="1" applyBorder="1" applyAlignment="1" applyProtection="1">
      <alignment horizontal="center" vertical="center" wrapText="1"/>
    </xf>
    <xf numFmtId="164" fontId="87" fillId="0" borderId="32" xfId="0" applyNumberFormat="1" applyFont="1" applyFill="1" applyBorder="1" applyAlignment="1" applyProtection="1">
      <alignment horizontal="center" vertical="center" wrapText="1"/>
    </xf>
    <xf numFmtId="164" fontId="76" fillId="0" borderId="19" xfId="0" applyNumberFormat="1" applyFont="1" applyFill="1" applyBorder="1" applyAlignment="1" applyProtection="1">
      <alignment horizontal="right" vertical="center" wrapText="1" indent="1"/>
    </xf>
    <xf numFmtId="164" fontId="7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7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78" fillId="0" borderId="41" xfId="0" applyNumberFormat="1" applyFont="1" applyFill="1" applyBorder="1" applyAlignment="1" applyProtection="1">
      <alignment horizontal="right" vertical="center" wrapText="1" indent="1"/>
      <protection locked="0"/>
    </xf>
    <xf numFmtId="164" fontId="7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7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75" fillId="0" borderId="41" xfId="0" applyNumberFormat="1" applyFont="1" applyFill="1" applyBorder="1" applyAlignment="1" applyProtection="1">
      <alignment horizontal="right" vertical="center" wrapText="1" indent="1"/>
      <protection locked="0"/>
    </xf>
    <xf numFmtId="164" fontId="7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45" xfId="0" applyNumberFormat="1" applyFont="1" applyFill="1" applyBorder="1" applyAlignment="1" applyProtection="1">
      <alignment horizontal="right" vertical="center" wrapText="1" indent="1"/>
    </xf>
    <xf numFmtId="164" fontId="80" fillId="0" borderId="0" xfId="0" applyNumberFormat="1" applyFont="1" applyFill="1" applyBorder="1" applyAlignment="1" applyProtection="1">
      <alignment horizontal="right" vertical="center" wrapText="1" indent="1"/>
    </xf>
    <xf numFmtId="0" fontId="78" fillId="0" borderId="0" xfId="0" applyFont="1" applyFill="1" applyAlignment="1" applyProtection="1">
      <alignment horizontal="right" vertical="center" wrapText="1" indent="1"/>
    </xf>
    <xf numFmtId="164" fontId="80" fillId="0" borderId="45" xfId="0" applyNumberFormat="1" applyFont="1" applyFill="1" applyBorder="1" applyAlignment="1" applyProtection="1">
      <alignment horizontal="right" vertical="center" wrapText="1" indent="1"/>
    </xf>
    <xf numFmtId="0" fontId="77" fillId="0" borderId="0" xfId="0" applyFont="1" applyFill="1" applyAlignment="1" applyProtection="1">
      <alignment horizontal="right" vertical="center" wrapText="1" indent="1"/>
    </xf>
    <xf numFmtId="3" fontId="8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0" xfId="0" applyFont="1" applyFill="1" applyAlignment="1" applyProtection="1">
      <alignment vertical="center" wrapText="1"/>
    </xf>
    <xf numFmtId="4" fontId="8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8" xfId="0" applyFont="1" applyFill="1" applyBorder="1" applyAlignment="1" applyProtection="1">
      <alignment horizontal="left" vertical="center"/>
    </xf>
    <xf numFmtId="0" fontId="77" fillId="0" borderId="2" xfId="0" applyFont="1" applyFill="1" applyBorder="1" applyAlignment="1" applyProtection="1">
      <alignment vertical="center" wrapText="1"/>
    </xf>
    <xf numFmtId="164" fontId="80" fillId="0" borderId="19" xfId="0" applyNumberFormat="1" applyFont="1" applyFill="1" applyBorder="1" applyAlignment="1" applyProtection="1">
      <alignment horizontal="right" vertical="center" wrapText="1" indent="1"/>
    </xf>
    <xf numFmtId="164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7" fillId="0" borderId="5" xfId="19" applyNumberFormat="1" applyFont="1" applyFill="1" applyBorder="1"/>
    <xf numFmtId="3" fontId="84" fillId="0" borderId="2" xfId="19" applyNumberFormat="1" applyFont="1" applyBorder="1"/>
    <xf numFmtId="0" fontId="24" fillId="0" borderId="0" xfId="23" applyFont="1" applyFill="1" applyAlignment="1" applyProtection="1">
      <alignment horizontal="center"/>
    </xf>
    <xf numFmtId="0" fontId="24" fillId="0" borderId="0" xfId="0" applyFont="1" applyAlignment="1">
      <alignment horizont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9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8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10" xfId="21" applyNumberFormat="1" applyFont="1" applyFill="1" applyBorder="1" applyProtection="1"/>
    <xf numFmtId="3" fontId="29" fillId="0" borderId="23" xfId="21" applyNumberFormat="1" applyFont="1" applyFill="1" applyBorder="1" applyProtection="1"/>
    <xf numFmtId="164" fontId="72" fillId="0" borderId="20" xfId="21" applyNumberFormat="1" applyFont="1" applyFill="1" applyBorder="1" applyAlignment="1" applyProtection="1">
      <alignment horizontal="center" vertical="center" wrapText="1"/>
    </xf>
    <xf numFmtId="164" fontId="1" fillId="0" borderId="39" xfId="0" applyNumberFormat="1" applyFont="1" applyFill="1" applyBorder="1" applyAlignment="1" applyProtection="1">
      <alignment horizontal="left" vertical="center" wrapText="1" indent="1"/>
    </xf>
    <xf numFmtId="164" fontId="1" fillId="0" borderId="43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164" fontId="22" fillId="0" borderId="8" xfId="0" applyNumberFormat="1" applyFont="1" applyFill="1" applyBorder="1" applyAlignment="1" applyProtection="1">
      <alignment vertical="center" wrapText="1"/>
      <protection locked="0"/>
    </xf>
    <xf numFmtId="49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2" fillId="0" borderId="2" xfId="0" applyNumberFormat="1" applyFont="1" applyFill="1" applyBorder="1" applyAlignment="1" applyProtection="1">
      <alignment vertical="center" wrapText="1"/>
      <protection locked="0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91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9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8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10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2" fillId="0" borderId="2" xfId="0" applyNumberFormat="1" applyFont="1" applyFill="1" applyBorder="1" applyAlignment="1" applyProtection="1">
      <alignment vertical="center" wrapText="1"/>
    </xf>
    <xf numFmtId="3" fontId="52" fillId="0" borderId="0" xfId="0" applyNumberFormat="1" applyFont="1" applyFill="1" applyAlignment="1" applyProtection="1">
      <alignment vertical="center" wrapText="1"/>
    </xf>
    <xf numFmtId="3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79" fillId="0" borderId="22" xfId="26" applyNumberFormat="1" applyFont="1" applyFill="1" applyBorder="1" applyAlignment="1" applyProtection="1">
      <alignment horizontal="right" vertical="center" wrapText="1" indent="1"/>
    </xf>
    <xf numFmtId="0" fontId="1" fillId="0" borderId="12" xfId="24" applyFont="1" applyBorder="1"/>
    <xf numFmtId="3" fontId="76" fillId="0" borderId="21" xfId="26" applyNumberFormat="1" applyFont="1" applyBorder="1" applyAlignment="1">
      <alignment horizontal="right"/>
    </xf>
    <xf numFmtId="3" fontId="76" fillId="0" borderId="22" xfId="26" applyNumberFormat="1" applyFont="1" applyBorder="1" applyAlignment="1">
      <alignment horizontal="right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8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7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48" xfId="20" quotePrefix="1" applyFont="1" applyBorder="1"/>
    <xf numFmtId="0" fontId="1" fillId="0" borderId="73" xfId="20" applyFont="1" applyBorder="1"/>
    <xf numFmtId="166" fontId="15" fillId="0" borderId="0" xfId="26" applyNumberFormat="1" applyFont="1" applyBorder="1"/>
    <xf numFmtId="0" fontId="1" fillId="0" borderId="48" xfId="20" applyFont="1" applyBorder="1"/>
    <xf numFmtId="166" fontId="49" fillId="0" borderId="0" xfId="26" applyNumberFormat="1" applyFont="1" applyBorder="1" applyAlignment="1"/>
    <xf numFmtId="0" fontId="24" fillId="0" borderId="0" xfId="23" applyFont="1" applyFill="1" applyBorder="1" applyAlignment="1" applyProtection="1">
      <alignment horizontal="center"/>
    </xf>
    <xf numFmtId="3" fontId="29" fillId="0" borderId="0" xfId="23" applyNumberFormat="1" applyFont="1" applyFill="1" applyProtection="1">
      <protection locked="0"/>
    </xf>
    <xf numFmtId="0" fontId="6" fillId="0" borderId="0" xfId="0" applyFont="1" applyFill="1" applyBorder="1" applyAlignment="1">
      <alignment horizontal="right"/>
    </xf>
    <xf numFmtId="0" fontId="30" fillId="0" borderId="0" xfId="23" applyFont="1" applyFill="1" applyBorder="1" applyAlignment="1" applyProtection="1">
      <alignment horizontal="center" vertical="center"/>
      <protection locked="0"/>
    </xf>
    <xf numFmtId="0" fontId="21" fillId="0" borderId="0" xfId="23" applyFont="1" applyFill="1" applyBorder="1" applyAlignment="1" applyProtection="1">
      <alignment horizontal="left" vertical="center" indent="1"/>
    </xf>
    <xf numFmtId="3" fontId="29" fillId="0" borderId="0" xfId="23" applyNumberFormat="1" applyFont="1" applyFill="1" applyAlignment="1" applyProtection="1">
      <alignment vertical="center"/>
    </xf>
    <xf numFmtId="164" fontId="28" fillId="0" borderId="41" xfId="23" applyNumberFormat="1" applyFont="1" applyFill="1" applyBorder="1" applyAlignment="1" applyProtection="1">
      <alignment vertical="center"/>
    </xf>
    <xf numFmtId="164" fontId="72" fillId="0" borderId="0" xfId="23" applyNumberFormat="1" applyFont="1" applyFill="1" applyBorder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4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164" fontId="28" fillId="0" borderId="0" xfId="23" applyNumberFormat="1" applyFont="1" applyFill="1" applyBorder="1" applyAlignment="1" applyProtection="1">
      <alignment vertical="center"/>
    </xf>
    <xf numFmtId="164" fontId="29" fillId="0" borderId="0" xfId="23" applyNumberFormat="1" applyFont="1" applyFill="1" applyBorder="1" applyAlignment="1" applyProtection="1">
      <alignment vertical="center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164" fontId="20" fillId="0" borderId="0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4" fontId="29" fillId="0" borderId="4" xfId="23" applyNumberFormat="1" applyFont="1" applyFill="1" applyBorder="1" applyAlignment="1" applyProtection="1">
      <alignment vertical="center"/>
      <protection locked="0"/>
    </xf>
    <xf numFmtId="164" fontId="28" fillId="0" borderId="17" xfId="23" applyNumberFormat="1" applyFont="1" applyFill="1" applyBorder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3" fontId="28" fillId="0" borderId="8" xfId="23" applyNumberFormat="1" applyFont="1" applyFill="1" applyBorder="1" applyAlignment="1" applyProtection="1">
      <alignment vertical="center"/>
      <protection locked="0"/>
    </xf>
    <xf numFmtId="164" fontId="20" fillId="0" borderId="0" xfId="23" applyNumberFormat="1" applyFont="1" applyFill="1" applyBorder="1" applyProtection="1"/>
    <xf numFmtId="0" fontId="12" fillId="0" borderId="0" xfId="23" applyFill="1" applyBorder="1" applyProtection="1"/>
    <xf numFmtId="0" fontId="12" fillId="0" borderId="0" xfId="23" applyFill="1" applyBorder="1" applyProtection="1">
      <protection locked="0"/>
    </xf>
    <xf numFmtId="0" fontId="1" fillId="0" borderId="42" xfId="18" applyFont="1" applyBorder="1" applyAlignment="1">
      <alignment wrapText="1"/>
    </xf>
    <xf numFmtId="0" fontId="1" fillId="0" borderId="43" xfId="18" applyFont="1" applyBorder="1" applyAlignment="1">
      <alignment wrapText="1"/>
    </xf>
    <xf numFmtId="0" fontId="1" fillId="0" borderId="43" xfId="18" applyFont="1" applyBorder="1"/>
    <xf numFmtId="0" fontId="29" fillId="0" borderId="2" xfId="0" applyFont="1" applyBorder="1" applyAlignment="1" applyProtection="1">
      <alignment horizontal="left" vertical="center" wrapText="1" indent="1"/>
      <protection locked="0"/>
    </xf>
    <xf numFmtId="0" fontId="1" fillId="0" borderId="43" xfId="19" applyFont="1" applyBorder="1"/>
    <xf numFmtId="166" fontId="29" fillId="0" borderId="37" xfId="26" applyNumberFormat="1" applyFont="1" applyFill="1" applyBorder="1" applyProtection="1">
      <protection locked="0"/>
    </xf>
    <xf numFmtId="166" fontId="29" fillId="0" borderId="32" xfId="26" applyNumberFormat="1" applyFont="1" applyFill="1" applyBorder="1" applyProtection="1">
      <protection locked="0"/>
    </xf>
    <xf numFmtId="166" fontId="29" fillId="0" borderId="54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49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43" xfId="21" applyFont="1" applyFill="1" applyBorder="1" applyProtection="1">
      <protection locked="0"/>
    </xf>
    <xf numFmtId="164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0" xfId="26" applyNumberFormat="1" applyFont="1" applyFill="1" applyBorder="1" applyAlignment="1" applyProtection="1">
      <alignment horizontal="left"/>
      <protection locked="0"/>
    </xf>
    <xf numFmtId="3" fontId="1" fillId="9" borderId="50" xfId="26" applyNumberFormat="1" applyFont="1" applyFill="1" applyBorder="1" applyAlignment="1" applyProtection="1">
      <alignment horizontal="left"/>
      <protection locked="0"/>
    </xf>
    <xf numFmtId="164" fontId="84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8" fillId="0" borderId="23" xfId="0" applyNumberFormat="1" applyFont="1" applyFill="1" applyBorder="1" applyAlignment="1" applyProtection="1">
      <alignment vertical="center" wrapText="1"/>
    </xf>
    <xf numFmtId="164" fontId="84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84" fillId="0" borderId="21" xfId="0" applyNumberFormat="1" applyFont="1" applyFill="1" applyBorder="1" applyAlignment="1" applyProtection="1">
      <alignment vertical="center" wrapText="1"/>
      <protection locked="0"/>
    </xf>
    <xf numFmtId="49" fontId="84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8" fillId="0" borderId="22" xfId="0" applyNumberFormat="1" applyFont="1" applyFill="1" applyBorder="1" applyAlignment="1" applyProtection="1">
      <alignment vertical="center" wrapText="1"/>
    </xf>
    <xf numFmtId="49" fontId="72" fillId="0" borderId="8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164" fontId="7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93" fillId="0" borderId="0" xfId="0" applyFont="1" applyFill="1" applyAlignment="1" applyProtection="1">
      <alignment horizontal="right" vertical="center" wrapText="1" indent="1"/>
    </xf>
    <xf numFmtId="164" fontId="76" fillId="0" borderId="0" xfId="0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Fill="1" applyAlignment="1" applyProtection="1">
      <alignment horizontal="right" vertical="center" wrapText="1" indent="1"/>
    </xf>
    <xf numFmtId="164" fontId="7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7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7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7" fillId="0" borderId="22" xfId="26" applyNumberFormat="1" applyFont="1" applyFill="1" applyBorder="1" applyAlignment="1" applyProtection="1">
      <alignment horizontal="right" vertical="center" wrapText="1" indent="1"/>
    </xf>
    <xf numFmtId="0" fontId="93" fillId="0" borderId="0" xfId="0" applyFont="1" applyFill="1" applyAlignment="1" applyProtection="1">
      <alignment vertical="center" wrapText="1"/>
    </xf>
    <xf numFmtId="3" fontId="75" fillId="0" borderId="2" xfId="25" applyNumberFormat="1" applyFont="1" applyBorder="1" applyAlignment="1">
      <alignment horizontal="right"/>
    </xf>
    <xf numFmtId="3" fontId="75" fillId="0" borderId="2" xfId="26" quotePrefix="1" applyNumberFormat="1" applyFont="1" applyBorder="1" applyAlignment="1">
      <alignment horizontal="right"/>
    </xf>
    <xf numFmtId="3" fontId="75" fillId="0" borderId="2" xfId="26" applyNumberFormat="1" applyFont="1" applyBorder="1" applyAlignment="1">
      <alignment horizontal="right"/>
    </xf>
    <xf numFmtId="0" fontId="34" fillId="0" borderId="0" xfId="21" applyFont="1" applyFill="1" applyAlignment="1">
      <alignment horizontal="center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20" xfId="27" applyNumberFormat="1" applyFont="1" applyFill="1" applyBorder="1" applyAlignment="1">
      <alignment horizontal="right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8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5" fillId="0" borderId="76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3" fontId="76" fillId="0" borderId="2" xfId="25" applyNumberFormat="1" applyFont="1" applyBorder="1" applyAlignment="1">
      <alignment horizontal="right"/>
    </xf>
    <xf numFmtId="3" fontId="76" fillId="0" borderId="18" xfId="25" applyNumberFormat="1" applyFont="1" applyBorder="1" applyAlignment="1">
      <alignment horizontal="right"/>
    </xf>
    <xf numFmtId="3" fontId="26" fillId="0" borderId="0" xfId="25" applyNumberFormat="1" applyFont="1"/>
    <xf numFmtId="3" fontId="90" fillId="0" borderId="0" xfId="25" applyNumberFormat="1" applyFont="1"/>
    <xf numFmtId="164" fontId="20" fillId="0" borderId="4" xfId="0" applyNumberFormat="1" applyFont="1" applyFill="1" applyBorder="1" applyAlignment="1" applyProtection="1">
      <alignment horizontal="left" vertical="center" wrapText="1" indent="1"/>
    </xf>
    <xf numFmtId="164" fontId="29" fillId="0" borderId="21" xfId="0" applyNumberFormat="1" applyFont="1" applyFill="1" applyBorder="1" applyAlignment="1" applyProtection="1">
      <alignment horizontal="left" vertical="center" wrapText="1" indent="1"/>
    </xf>
    <xf numFmtId="164" fontId="20" fillId="0" borderId="25" xfId="0" applyNumberFormat="1" applyFont="1" applyFill="1" applyBorder="1" applyAlignment="1" applyProtection="1">
      <alignment horizontal="left" vertical="center" wrapText="1" indent="1"/>
    </xf>
    <xf numFmtId="164" fontId="22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15" fillId="0" borderId="4" xfId="27" applyNumberFormat="1" applyFont="1" applyFill="1" applyBorder="1" applyAlignment="1" applyProtection="1">
      <alignment horizontal="center" vertical="center"/>
      <protection locked="0"/>
    </xf>
    <xf numFmtId="3" fontId="15" fillId="0" borderId="2" xfId="27" applyNumberFormat="1" applyFont="1" applyFill="1" applyBorder="1" applyAlignment="1" applyProtection="1">
      <alignment horizontal="center" vertical="center"/>
      <protection locked="0"/>
    </xf>
    <xf numFmtId="164" fontId="28" fillId="0" borderId="3" xfId="0" applyNumberFormat="1" applyFont="1" applyFill="1" applyBorder="1" applyAlignment="1" applyProtection="1">
      <alignment horizontal="left" vertical="center" wrapText="1" indent="1"/>
    </xf>
    <xf numFmtId="164" fontId="15" fillId="0" borderId="3" xfId="0" applyNumberFormat="1" applyFont="1" applyFill="1" applyBorder="1" applyAlignment="1" applyProtection="1">
      <alignment horizontal="left" vertical="center" wrapText="1" indent="2"/>
      <protection locked="0"/>
    </xf>
    <xf numFmtId="164" fontId="22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1" xfId="0" applyNumberFormat="1" applyFont="1" applyFill="1" applyBorder="1" applyAlignment="1" applyProtection="1">
      <alignment horizontal="left" vertical="center" wrapText="1" indent="1"/>
    </xf>
    <xf numFmtId="164" fontId="15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15" fillId="7" borderId="71" xfId="0" applyNumberFormat="1" applyFont="1" applyFill="1" applyBorder="1" applyAlignment="1" applyProtection="1">
      <alignment horizontal="left" vertical="center" wrapText="1" indent="2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3" fontId="28" fillId="0" borderId="25" xfId="0" applyNumberFormat="1" applyFont="1" applyFill="1" applyBorder="1" applyAlignment="1" applyProtection="1">
      <alignment horizontal="center" vertical="center" wrapText="1"/>
    </xf>
    <xf numFmtId="3" fontId="28" fillId="0" borderId="60" xfId="0" applyNumberFormat="1" applyFont="1" applyFill="1" applyBorder="1" applyAlignment="1" applyProtection="1">
      <alignment horizontal="center" vertical="center" wrapText="1"/>
    </xf>
    <xf numFmtId="3" fontId="41" fillId="0" borderId="51" xfId="27" applyNumberFormat="1" applyFont="1" applyBorder="1" applyAlignment="1">
      <alignment horizontal="right" indent="2"/>
    </xf>
    <xf numFmtId="3" fontId="36" fillId="0" borderId="51" xfId="27" applyNumberFormat="1" applyFont="1" applyBorder="1" applyAlignment="1">
      <alignment horizontal="right" indent="2"/>
    </xf>
    <xf numFmtId="3" fontId="94" fillId="0" borderId="51" xfId="27" applyNumberFormat="1" applyFont="1" applyBorder="1" applyAlignment="1">
      <alignment horizontal="right" indent="2"/>
    </xf>
    <xf numFmtId="0" fontId="15" fillId="0" borderId="43" xfId="18" applyFont="1" applyBorder="1" applyAlignment="1">
      <alignment horizontal="left" wrapText="1"/>
    </xf>
    <xf numFmtId="3" fontId="36" fillId="0" borderId="32" xfId="27" applyNumberFormat="1" applyFont="1" applyBorder="1" applyAlignment="1">
      <alignment horizontal="right" indent="2"/>
    </xf>
    <xf numFmtId="3" fontId="41" fillId="0" borderId="37" xfId="27" applyNumberFormat="1" applyFont="1" applyBorder="1" applyAlignment="1">
      <alignment horizontal="right" indent="2"/>
    </xf>
    <xf numFmtId="0" fontId="46" fillId="0" borderId="76" xfId="18" applyFont="1" applyBorder="1"/>
    <xf numFmtId="0" fontId="16" fillId="0" borderId="60" xfId="18" applyFont="1" applyBorder="1" applyAlignment="1">
      <alignment horizontal="left"/>
    </xf>
    <xf numFmtId="164" fontId="1" fillId="0" borderId="11" xfId="14" applyNumberFormat="1" applyFont="1" applyFill="1" applyBorder="1" applyAlignment="1" applyProtection="1">
      <alignment horizontal="left" vertical="center" wrapText="1"/>
      <protection locked="0"/>
    </xf>
    <xf numFmtId="164" fontId="37" fillId="0" borderId="2" xfId="14" applyNumberFormat="1" applyFont="1" applyFill="1" applyBorder="1" applyAlignment="1" applyProtection="1">
      <alignment vertical="center" wrapText="1"/>
      <protection locked="0"/>
    </xf>
    <xf numFmtId="164" fontId="37" fillId="0" borderId="8" xfId="14" applyNumberFormat="1" applyFont="1" applyFill="1" applyBorder="1" applyAlignment="1" applyProtection="1">
      <alignment horizontal="left" vertical="center" wrapText="1"/>
      <protection locked="0"/>
    </xf>
    <xf numFmtId="164" fontId="1" fillId="0" borderId="8" xfId="14" applyNumberFormat="1" applyFont="1" applyFill="1" applyBorder="1" applyAlignment="1" applyProtection="1">
      <alignment horizontal="left" vertical="center" wrapText="1"/>
      <protection locked="0"/>
    </xf>
    <xf numFmtId="164" fontId="29" fillId="0" borderId="2" xfId="14" applyNumberFormat="1" applyFont="1" applyFill="1" applyBorder="1" applyAlignment="1" applyProtection="1">
      <alignment vertical="center" wrapText="1"/>
      <protection locked="0"/>
    </xf>
    <xf numFmtId="164" fontId="37" fillId="0" borderId="6" xfId="14" applyNumberFormat="1" applyFont="1" applyFill="1" applyBorder="1" applyAlignment="1" applyProtection="1">
      <alignment vertical="center" wrapText="1"/>
      <protection locked="0"/>
    </xf>
    <xf numFmtId="164" fontId="29" fillId="0" borderId="42" xfId="14" applyNumberFormat="1" applyFont="1" applyFill="1" applyBorder="1" applyAlignment="1" applyProtection="1">
      <alignment horizontal="left" vertical="center" wrapText="1"/>
      <protection locked="0"/>
    </xf>
    <xf numFmtId="164" fontId="29" fillId="0" borderId="9" xfId="14" applyNumberFormat="1" applyFont="1" applyFill="1" applyBorder="1" applyAlignment="1" applyProtection="1">
      <alignment vertical="center" wrapText="1"/>
      <protection locked="0"/>
    </xf>
    <xf numFmtId="164" fontId="29" fillId="0" borderId="43" xfId="14" applyNumberFormat="1" applyFont="1" applyFill="1" applyBorder="1" applyAlignment="1" applyProtection="1">
      <alignment horizontal="left" vertical="center" wrapText="1"/>
      <protection locked="0"/>
    </xf>
    <xf numFmtId="164" fontId="29" fillId="0" borderId="8" xfId="14" applyNumberFormat="1" applyFont="1" applyFill="1" applyBorder="1" applyAlignment="1" applyProtection="1">
      <alignment vertical="center" wrapText="1"/>
      <protection locked="0"/>
    </xf>
    <xf numFmtId="164" fontId="29" fillId="0" borderId="39" xfId="14" applyNumberFormat="1" applyFont="1" applyFill="1" applyBorder="1" applyAlignment="1" applyProtection="1">
      <alignment horizontal="left" vertical="center" wrapText="1"/>
      <protection locked="0"/>
    </xf>
    <xf numFmtId="164" fontId="22" fillId="0" borderId="43" xfId="14" applyNumberFormat="1" applyFont="1" applyFill="1" applyBorder="1" applyAlignment="1" applyProtection="1">
      <alignment horizontal="left" vertical="center" wrapText="1"/>
      <protection locked="0"/>
    </xf>
    <xf numFmtId="164" fontId="22" fillId="0" borderId="8" xfId="14" applyNumberFormat="1" applyFont="1" applyFill="1" applyBorder="1" applyAlignment="1" applyProtection="1">
      <alignment vertical="center" wrapText="1"/>
      <protection locked="0"/>
    </xf>
    <xf numFmtId="0" fontId="26" fillId="0" borderId="43" xfId="14" applyFont="1" applyFill="1" applyBorder="1" applyAlignment="1">
      <alignment vertical="center"/>
    </xf>
    <xf numFmtId="164" fontId="22" fillId="0" borderId="5" xfId="14" applyNumberFormat="1" applyFont="1" applyFill="1" applyBorder="1" applyAlignment="1" applyProtection="1">
      <alignment vertical="center" wrapText="1"/>
      <protection locked="0"/>
    </xf>
    <xf numFmtId="164" fontId="22" fillId="0" borderId="78" xfId="14" applyNumberFormat="1" applyFont="1" applyFill="1" applyBorder="1" applyAlignment="1" applyProtection="1">
      <alignment vertical="center" wrapText="1"/>
      <protection locked="0"/>
    </xf>
    <xf numFmtId="0" fontId="90" fillId="0" borderId="42" xfId="14" applyFont="1" applyFill="1" applyBorder="1" applyAlignment="1">
      <alignment vertical="center"/>
    </xf>
    <xf numFmtId="0" fontId="42" fillId="0" borderId="42" xfId="14" applyFont="1" applyFill="1" applyBorder="1" applyAlignment="1">
      <alignment vertical="center"/>
    </xf>
    <xf numFmtId="164" fontId="29" fillId="10" borderId="8" xfId="14" applyNumberFormat="1" applyFont="1" applyFill="1" applyBorder="1" applyAlignment="1" applyProtection="1">
      <alignment vertical="center" wrapText="1"/>
      <protection locked="0"/>
    </xf>
    <xf numFmtId="164" fontId="22" fillId="10" borderId="8" xfId="14" applyNumberFormat="1" applyFont="1" applyFill="1" applyBorder="1" applyAlignment="1" applyProtection="1">
      <alignment vertical="center" wrapText="1"/>
      <protection locked="0"/>
    </xf>
    <xf numFmtId="164" fontId="29" fillId="0" borderId="18" xfId="0" applyNumberFormat="1" applyFont="1" applyFill="1" applyBorder="1" applyAlignment="1" applyProtection="1">
      <alignment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1" fillId="0" borderId="48" xfId="20" applyFont="1" applyBorder="1" applyAlignment="1">
      <alignment horizontal="left"/>
    </xf>
    <xf numFmtId="0" fontId="1" fillId="0" borderId="73" xfId="20" quotePrefix="1" applyFont="1" applyBorder="1" applyAlignment="1">
      <alignment horizontal="left"/>
    </xf>
    <xf numFmtId="0" fontId="85" fillId="0" borderId="0" xfId="0" applyFont="1" applyFill="1" applyAlignment="1" applyProtection="1">
      <alignment vertical="center" wrapText="1"/>
    </xf>
    <xf numFmtId="0" fontId="0" fillId="11" borderId="0" xfId="0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center" vertical="center" wrapText="1"/>
    </xf>
    <xf numFmtId="164" fontId="29" fillId="1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10" borderId="51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164" fontId="29" fillId="11" borderId="4" xfId="14" applyNumberFormat="1" applyFont="1" applyFill="1" applyBorder="1" applyAlignment="1" applyProtection="1">
      <alignment vertical="center" wrapText="1"/>
      <protection locked="0"/>
    </xf>
    <xf numFmtId="3" fontId="37" fillId="0" borderId="10" xfId="19" applyNumberFormat="1" applyFont="1" applyFill="1" applyBorder="1"/>
    <xf numFmtId="0" fontId="20" fillId="0" borderId="71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164" fontId="29" fillId="0" borderId="41" xfId="21" applyNumberFormat="1" applyFont="1" applyFill="1" applyBorder="1" applyAlignment="1" applyProtection="1">
      <alignment horizontal="center" vertical="center" wrapText="1"/>
    </xf>
    <xf numFmtId="164" fontId="28" fillId="0" borderId="41" xfId="21" applyNumberFormat="1" applyFont="1" applyFill="1" applyBorder="1" applyAlignment="1" applyProtection="1">
      <alignment horizontal="center" vertical="center" wrapText="1"/>
    </xf>
    <xf numFmtId="164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1" xfId="0" applyFont="1" applyBorder="1" applyAlignment="1" applyProtection="1">
      <alignment horizontal="left" vertical="center" wrapText="1" indent="1"/>
    </xf>
    <xf numFmtId="164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95" fillId="0" borderId="59" xfId="0" applyNumberFormat="1" applyFont="1" applyFill="1" applyBorder="1" applyAlignment="1" applyProtection="1">
      <alignment horizontal="left" vertical="center" wrapText="1"/>
      <protection locked="0"/>
    </xf>
    <xf numFmtId="164" fontId="77" fillId="0" borderId="11" xfId="0" applyNumberFormat="1" applyFont="1" applyFill="1" applyBorder="1" applyAlignment="1" applyProtection="1">
      <alignment vertical="center" wrapText="1"/>
      <protection locked="0"/>
    </xf>
    <xf numFmtId="49" fontId="77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7" fillId="0" borderId="4" xfId="0" applyNumberFormat="1" applyFont="1" applyFill="1" applyBorder="1" applyAlignment="1" applyProtection="1">
      <alignment vertical="center" wrapText="1"/>
      <protection locked="0"/>
    </xf>
    <xf numFmtId="164" fontId="76" fillId="0" borderId="17" xfId="0" applyNumberFormat="1" applyFont="1" applyFill="1" applyBorder="1" applyAlignment="1" applyProtection="1">
      <alignment vertical="center" wrapText="1"/>
    </xf>
    <xf numFmtId="164" fontId="77" fillId="0" borderId="43" xfId="0" quotePrefix="1" applyNumberFormat="1" applyFont="1" applyFill="1" applyBorder="1" applyAlignment="1" applyProtection="1">
      <alignment horizontal="left" vertical="center" wrapText="1"/>
      <protection locked="0"/>
    </xf>
    <xf numFmtId="164" fontId="77" fillId="0" borderId="8" xfId="0" applyNumberFormat="1" applyFont="1" applyFill="1" applyBorder="1" applyAlignment="1" applyProtection="1">
      <alignment vertical="center" wrapText="1"/>
      <protection locked="0"/>
    </xf>
    <xf numFmtId="49" fontId="7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7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43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93" fillId="0" borderId="39" xfId="0" quotePrefix="1" applyNumberFormat="1" applyFont="1" applyFill="1" applyBorder="1" applyAlignment="1" applyProtection="1">
      <alignment horizontal="left" vertical="center" wrapText="1"/>
      <protection locked="0"/>
    </xf>
    <xf numFmtId="164" fontId="93" fillId="0" borderId="8" xfId="0" applyNumberFormat="1" applyFont="1" applyFill="1" applyBorder="1" applyAlignment="1" applyProtection="1">
      <alignment vertical="center" wrapText="1"/>
      <protection locked="0"/>
    </xf>
    <xf numFmtId="49" fontId="9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3" fillId="0" borderId="2" xfId="0" applyNumberFormat="1" applyFont="1" applyFill="1" applyBorder="1" applyAlignment="1" applyProtection="1">
      <alignment vertical="center" wrapText="1"/>
      <protection locked="0"/>
    </xf>
    <xf numFmtId="0" fontId="77" fillId="0" borderId="43" xfId="21" quotePrefix="1" applyFont="1" applyFill="1" applyBorder="1" applyAlignment="1" applyProtection="1">
      <alignment horizontal="left"/>
      <protection locked="0"/>
    </xf>
    <xf numFmtId="164" fontId="77" fillId="0" borderId="39" xfId="0" quotePrefix="1" applyNumberFormat="1" applyFont="1" applyFill="1" applyBorder="1" applyAlignment="1" applyProtection="1">
      <alignment horizontal="left" vertical="center" wrapText="1"/>
      <protection locked="0"/>
    </xf>
    <xf numFmtId="0" fontId="93" fillId="0" borderId="43" xfId="21" quotePrefix="1" applyFont="1" applyFill="1" applyBorder="1" applyProtection="1">
      <protection locked="0"/>
    </xf>
    <xf numFmtId="164" fontId="95" fillId="0" borderId="43" xfId="0" applyNumberFormat="1" applyFont="1" applyFill="1" applyBorder="1" applyAlignment="1" applyProtection="1">
      <alignment horizontal="left" vertical="center" wrapText="1"/>
      <protection locked="0"/>
    </xf>
    <xf numFmtId="164" fontId="93" fillId="0" borderId="43" xfId="0" quotePrefix="1" applyNumberFormat="1" applyFont="1" applyFill="1" applyBorder="1" applyAlignment="1" applyProtection="1">
      <alignment horizontal="left" vertical="center" wrapText="1"/>
      <protection locked="0"/>
    </xf>
    <xf numFmtId="164" fontId="9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6" fillId="0" borderId="43" xfId="0" quotePrefix="1" applyFont="1" applyFill="1" applyBorder="1" applyAlignment="1">
      <alignment vertical="center" wrapText="1"/>
    </xf>
    <xf numFmtId="0" fontId="96" fillId="0" borderId="43" xfId="0" quotePrefix="1" applyFont="1" applyFill="1" applyBorder="1" applyAlignment="1">
      <alignment vertical="center"/>
    </xf>
    <xf numFmtId="0" fontId="97" fillId="0" borderId="43" xfId="0" applyFont="1" applyFill="1" applyBorder="1" applyAlignment="1">
      <alignment vertical="center"/>
    </xf>
    <xf numFmtId="0" fontId="96" fillId="0" borderId="42" xfId="0" quotePrefix="1" applyFont="1" applyFill="1" applyBorder="1" applyAlignment="1">
      <alignment vertical="center"/>
    </xf>
    <xf numFmtId="0" fontId="98" fillId="0" borderId="42" xfId="0" applyFont="1" applyFill="1" applyBorder="1" applyAlignment="1">
      <alignment vertical="center"/>
    </xf>
    <xf numFmtId="0" fontId="99" fillId="0" borderId="43" xfId="0" applyFont="1" applyFill="1" applyBorder="1" applyAlignment="1">
      <alignment vertical="center"/>
    </xf>
    <xf numFmtId="0" fontId="100" fillId="0" borderId="43" xfId="0" quotePrefix="1" applyFont="1" applyFill="1" applyBorder="1" applyAlignment="1">
      <alignment vertical="center" wrapText="1"/>
    </xf>
    <xf numFmtId="3" fontId="100" fillId="0" borderId="8" xfId="27" applyNumberFormat="1" applyFont="1" applyFill="1" applyBorder="1" applyAlignment="1">
      <alignment vertical="center"/>
    </xf>
    <xf numFmtId="3" fontId="100" fillId="0" borderId="2" xfId="27" applyNumberFormat="1" applyFont="1" applyFill="1" applyBorder="1" applyAlignment="1">
      <alignment vertical="center"/>
    </xf>
    <xf numFmtId="0" fontId="100" fillId="0" borderId="43" xfId="0" quotePrefix="1" applyFont="1" applyFill="1" applyBorder="1" applyAlignment="1">
      <alignment vertical="center"/>
    </xf>
    <xf numFmtId="164" fontId="15" fillId="0" borderId="8" xfId="0" applyNumberFormat="1" applyFont="1" applyFill="1" applyBorder="1" applyAlignment="1" applyProtection="1">
      <alignment vertical="center" wrapText="1"/>
      <protection locked="0"/>
    </xf>
    <xf numFmtId="164" fontId="15" fillId="0" borderId="2" xfId="0" applyNumberFormat="1" applyFont="1" applyFill="1" applyBorder="1" applyAlignment="1" applyProtection="1">
      <alignment vertical="center" wrapText="1"/>
      <protection locked="0"/>
    </xf>
    <xf numFmtId="164" fontId="93" fillId="0" borderId="18" xfId="0" applyNumberFormat="1" applyFont="1" applyFill="1" applyBorder="1" applyAlignment="1" applyProtection="1">
      <alignment vertical="center" wrapText="1"/>
    </xf>
    <xf numFmtId="0" fontId="100" fillId="0" borderId="43" xfId="0" applyFont="1" applyFill="1" applyBorder="1" applyAlignment="1">
      <alignment vertical="center"/>
    </xf>
    <xf numFmtId="0" fontId="100" fillId="0" borderId="43" xfId="0" applyFont="1" applyFill="1" applyBorder="1" applyAlignment="1">
      <alignment vertical="center" wrapText="1"/>
    </xf>
    <xf numFmtId="164" fontId="9" fillId="0" borderId="2" xfId="0" applyNumberFormat="1" applyFont="1" applyFill="1" applyBorder="1" applyAlignment="1" applyProtection="1">
      <alignment vertical="center" wrapText="1"/>
      <protection locked="0"/>
    </xf>
    <xf numFmtId="164" fontId="101" fillId="0" borderId="18" xfId="0" applyNumberFormat="1" applyFont="1" applyFill="1" applyBorder="1" applyAlignment="1" applyProtection="1">
      <alignment vertical="center" wrapText="1"/>
    </xf>
    <xf numFmtId="164" fontId="41" fillId="0" borderId="43" xfId="0" applyNumberFormat="1" applyFont="1" applyFill="1" applyBorder="1" applyAlignment="1" applyProtection="1">
      <alignment horizontal="left" vertical="center" wrapText="1"/>
      <protection locked="0"/>
    </xf>
    <xf numFmtId="164" fontId="92" fillId="0" borderId="18" xfId="0" applyNumberFormat="1" applyFont="1" applyFill="1" applyBorder="1" applyAlignment="1" applyProtection="1">
      <alignment vertical="center" wrapText="1"/>
    </xf>
    <xf numFmtId="0" fontId="102" fillId="0" borderId="43" xfId="21" applyFont="1" applyFill="1" applyBorder="1" applyProtection="1">
      <protection locked="0"/>
    </xf>
    <xf numFmtId="0" fontId="0" fillId="0" borderId="43" xfId="21" quotePrefix="1" applyFont="1" applyFill="1" applyBorder="1" applyProtection="1">
      <protection locked="0"/>
    </xf>
    <xf numFmtId="0" fontId="90" fillId="0" borderId="43" xfId="0" quotePrefix="1" applyFont="1" applyFill="1" applyBorder="1" applyAlignment="1">
      <alignment vertical="center"/>
    </xf>
    <xf numFmtId="164" fontId="8" fillId="0" borderId="34" xfId="0" applyNumberFormat="1" applyFont="1" applyFill="1" applyBorder="1" applyAlignment="1" applyProtection="1">
      <alignment horizontal="left" vertical="center" wrapText="1"/>
    </xf>
    <xf numFmtId="164" fontId="20" fillId="7" borderId="33" xfId="0" applyNumberFormat="1" applyFont="1" applyFill="1" applyBorder="1" applyAlignment="1" applyProtection="1">
      <alignment vertical="center" wrapText="1"/>
    </xf>
    <xf numFmtId="164" fontId="28" fillId="0" borderId="27" xfId="0" applyNumberFormat="1" applyFont="1" applyFill="1" applyBorder="1" applyAlignment="1" applyProtection="1">
      <alignment vertical="center" wrapText="1"/>
    </xf>
    <xf numFmtId="166" fontId="29" fillId="0" borderId="58" xfId="26" applyNumberFormat="1" applyFont="1" applyFill="1" applyBorder="1" applyProtection="1">
      <protection locked="0"/>
    </xf>
    <xf numFmtId="164" fontId="77" fillId="0" borderId="11" xfId="0" applyNumberFormat="1" applyFont="1" applyFill="1" applyBorder="1" applyAlignment="1" applyProtection="1">
      <alignment horizontal="left" vertical="center" wrapText="1"/>
      <protection locked="0"/>
    </xf>
    <xf numFmtId="3" fontId="75" fillId="0" borderId="4" xfId="0" applyNumberFormat="1" applyFont="1" applyFill="1" applyBorder="1" applyAlignment="1" applyProtection="1">
      <alignment vertical="center"/>
      <protection locked="0"/>
    </xf>
    <xf numFmtId="3" fontId="75" fillId="0" borderId="17" xfId="0" applyNumberFormat="1" applyFont="1" applyFill="1" applyBorder="1" applyAlignment="1" applyProtection="1">
      <alignment vertical="center"/>
    </xf>
    <xf numFmtId="3" fontId="75" fillId="0" borderId="2" xfId="0" applyNumberFormat="1" applyFont="1" applyFill="1" applyBorder="1" applyAlignment="1" applyProtection="1">
      <alignment vertical="center"/>
      <protection locked="0"/>
    </xf>
    <xf numFmtId="3" fontId="75" fillId="0" borderId="18" xfId="0" applyNumberFormat="1" applyFont="1" applyFill="1" applyBorder="1" applyAlignment="1" applyProtection="1">
      <alignment vertical="center"/>
    </xf>
    <xf numFmtId="3" fontId="75" fillId="0" borderId="6" xfId="0" applyNumberFormat="1" applyFont="1" applyFill="1" applyBorder="1" applyAlignment="1" applyProtection="1">
      <alignment vertical="center"/>
      <protection locked="0"/>
    </xf>
    <xf numFmtId="164" fontId="7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4" fillId="0" borderId="47" xfId="26" applyNumberFormat="1" applyFont="1" applyBorder="1"/>
    <xf numFmtId="0" fontId="1" fillId="0" borderId="37" xfId="20" applyFont="1" applyBorder="1"/>
    <xf numFmtId="166" fontId="24" fillId="0" borderId="29" xfId="26" applyNumberFormat="1" applyFont="1" applyBorder="1"/>
    <xf numFmtId="166" fontId="24" fillId="0" borderId="74" xfId="26" applyNumberFormat="1" applyFont="1" applyBorder="1"/>
    <xf numFmtId="166" fontId="24" fillId="0" borderId="54" xfId="26" applyNumberFormat="1" applyFont="1" applyBorder="1"/>
    <xf numFmtId="166" fontId="31" fillId="0" borderId="54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5" xfId="26" applyNumberFormat="1" applyFont="1" applyBorder="1"/>
    <xf numFmtId="166" fontId="31" fillId="0" borderId="45" xfId="26" applyNumberFormat="1" applyFont="1" applyBorder="1"/>
    <xf numFmtId="166" fontId="12" fillId="0" borderId="72" xfId="26" quotePrefix="1" applyNumberFormat="1" applyFont="1" applyBorder="1"/>
    <xf numFmtId="166" fontId="12" fillId="0" borderId="58" xfId="26" quotePrefix="1" applyNumberFormat="1" applyFont="1" applyBorder="1"/>
    <xf numFmtId="166" fontId="12" fillId="0" borderId="58" xfId="26" applyNumberFormat="1" applyFont="1" applyBorder="1"/>
    <xf numFmtId="166" fontId="24" fillId="0" borderId="44" xfId="26" applyNumberFormat="1" applyFont="1" applyBorder="1"/>
    <xf numFmtId="166" fontId="24" fillId="0" borderId="0" xfId="26" applyNumberFormat="1" applyFont="1" applyBorder="1"/>
    <xf numFmtId="166" fontId="24" fillId="0" borderId="49" xfId="26" applyNumberFormat="1" applyFont="1" applyBorder="1"/>
    <xf numFmtId="0" fontId="20" fillId="0" borderId="69" xfId="21" applyFont="1" applyFill="1" applyBorder="1" applyAlignment="1" applyProtection="1">
      <alignment horizontal="left" vertical="center" wrapText="1" indent="1"/>
    </xf>
    <xf numFmtId="0" fontId="26" fillId="0" borderId="50" xfId="0" applyFont="1" applyBorder="1" applyAlignment="1" applyProtection="1">
      <alignment horizontal="left" vertical="center" wrapText="1" indent="1"/>
    </xf>
    <xf numFmtId="0" fontId="26" fillId="0" borderId="66" xfId="0" applyFont="1" applyBorder="1" applyAlignment="1" applyProtection="1">
      <alignment horizontal="left" vertical="center" wrapText="1" indent="1"/>
    </xf>
    <xf numFmtId="0" fontId="27" fillId="0" borderId="69" xfId="0" applyFont="1" applyBorder="1" applyAlignment="1" applyProtection="1">
      <alignment horizontal="left" vertical="center" wrapText="1" indent="1"/>
    </xf>
    <xf numFmtId="0" fontId="26" fillId="0" borderId="66" xfId="0" applyFont="1" applyBorder="1" applyAlignment="1" applyProtection="1">
      <alignment vertical="center" wrapText="1"/>
    </xf>
    <xf numFmtId="0" fontId="27" fillId="0" borderId="69" xfId="0" applyFont="1" applyBorder="1" applyAlignment="1" applyProtection="1">
      <alignment wrapText="1"/>
    </xf>
    <xf numFmtId="0" fontId="27" fillId="0" borderId="71" xfId="0" applyFont="1" applyBorder="1" applyAlignment="1" applyProtection="1">
      <alignment wrapText="1"/>
    </xf>
    <xf numFmtId="0" fontId="20" fillId="0" borderId="63" xfId="21" applyFont="1" applyFill="1" applyBorder="1" applyAlignment="1" applyProtection="1">
      <alignment vertical="center" wrapText="1"/>
    </xf>
    <xf numFmtId="0" fontId="22" fillId="0" borderId="70" xfId="21" applyFont="1" applyFill="1" applyBorder="1" applyAlignment="1" applyProtection="1">
      <alignment horizontal="left" vertical="center" wrapText="1" indent="1"/>
    </xf>
    <xf numFmtId="0" fontId="22" fillId="0" borderId="50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6"/>
    </xf>
    <xf numFmtId="0" fontId="22" fillId="0" borderId="73" xfId="21" applyFont="1" applyFill="1" applyBorder="1" applyAlignment="1" applyProtection="1">
      <alignment horizontal="left" vertical="center" wrapText="1" indent="1"/>
    </xf>
    <xf numFmtId="0" fontId="22" fillId="0" borderId="38" xfId="21" applyFont="1" applyFill="1" applyBorder="1" applyAlignment="1" applyProtection="1">
      <alignment horizontal="left" vertical="center" wrapText="1" indent="7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7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50" xfId="21" applyFont="1" applyFill="1" applyBorder="1" applyAlignment="1" applyProtection="1">
      <alignment horizontal="left" vertical="center" wrapText="1" indent="6"/>
    </xf>
    <xf numFmtId="0" fontId="8" fillId="0" borderId="69" xfId="21" applyFont="1" applyFill="1" applyBorder="1" applyAlignment="1" applyProtection="1">
      <alignment horizontal="center" vertical="center" wrapText="1"/>
    </xf>
    <xf numFmtId="164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39" xfId="18" applyFont="1" applyBorder="1"/>
    <xf numFmtId="0" fontId="31" fillId="0" borderId="42" xfId="18" applyFont="1" applyBorder="1" applyAlignment="1">
      <alignment wrapText="1"/>
    </xf>
    <xf numFmtId="0" fontId="31" fillId="0" borderId="42" xfId="18" applyFont="1" applyBorder="1" applyAlignment="1">
      <alignment horizontal="left" vertical="center" wrapText="1"/>
    </xf>
    <xf numFmtId="0" fontId="0" fillId="0" borderId="43" xfId="18" applyFont="1" applyBorder="1"/>
    <xf numFmtId="166" fontId="56" fillId="0" borderId="27" xfId="18" applyNumberFormat="1" applyFont="1" applyBorder="1" applyAlignment="1">
      <alignment horizontal="center"/>
    </xf>
    <xf numFmtId="0" fontId="15" fillId="0" borderId="48" xfId="21" applyFont="1" applyFill="1" applyBorder="1" applyAlignment="1">
      <alignment horizontal="center" vertical="center"/>
    </xf>
    <xf numFmtId="14" fontId="2" fillId="0" borderId="0" xfId="21" applyNumberFormat="1" applyFont="1" applyFill="1" applyAlignment="1">
      <alignment horizontal="left"/>
    </xf>
    <xf numFmtId="0" fontId="29" fillId="0" borderId="6" xfId="21" applyFont="1" applyFill="1" applyBorder="1" applyAlignment="1" applyProtection="1">
      <alignment horizontal="left"/>
      <protection locked="0"/>
    </xf>
    <xf numFmtId="166" fontId="29" fillId="0" borderId="23" xfId="10" applyNumberFormat="1" applyFont="1" applyFill="1" applyBorder="1" applyProtection="1">
      <protection locked="0"/>
    </xf>
    <xf numFmtId="166" fontId="28" fillId="0" borderId="19" xfId="10" applyNumberFormat="1" applyFont="1" applyFill="1" applyBorder="1" applyProtection="1"/>
    <xf numFmtId="164" fontId="20" fillId="0" borderId="2" xfId="0" applyNumberFormat="1" applyFont="1" applyFill="1" applyBorder="1" applyAlignment="1" applyProtection="1">
      <alignment horizontal="center" vertical="center" wrapText="1"/>
    </xf>
    <xf numFmtId="3" fontId="15" fillId="0" borderId="2" xfId="21" applyNumberFormat="1" applyFont="1" applyFill="1" applyBorder="1" applyAlignment="1" applyProtection="1">
      <alignment horizontal="center" vertical="center"/>
      <protection locked="0"/>
    </xf>
    <xf numFmtId="164" fontId="20" fillId="0" borderId="3" xfId="0" applyNumberFormat="1" applyFont="1" applyFill="1" applyBorder="1" applyAlignment="1" applyProtection="1">
      <alignment horizontal="left" vertical="center" wrapText="1" indent="1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164" fontId="28" fillId="0" borderId="27" xfId="21" applyNumberFormat="1" applyFont="1" applyFill="1" applyBorder="1" applyAlignment="1" applyProtection="1">
      <alignment horizontal="right" vertical="center" wrapText="1" indent="1"/>
    </xf>
    <xf numFmtId="0" fontId="22" fillId="0" borderId="50" xfId="21" applyFont="1" applyFill="1" applyBorder="1" applyAlignment="1" applyProtection="1">
      <alignment horizontal="left" indent="6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2" xfId="21" applyNumberFormat="1" applyFont="1" applyFill="1" applyBorder="1" applyAlignment="1" applyProtection="1">
      <alignment horizontal="right" vertical="center" wrapText="1" indent="1"/>
    </xf>
    <xf numFmtId="164" fontId="22" fillId="0" borderId="4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69" xfId="21" applyNumberFormat="1" applyFont="1" applyFill="1" applyBorder="1" applyAlignment="1" applyProtection="1">
      <alignment horizontal="right" vertical="center" wrapText="1" indent="1"/>
    </xf>
    <xf numFmtId="1" fontId="20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45" xfId="21" applyNumberFormat="1" applyFont="1" applyFill="1" applyBorder="1" applyAlignment="1" applyProtection="1">
      <alignment horizontal="right" vertical="center" wrapText="1" indent="1"/>
    </xf>
    <xf numFmtId="1" fontId="26" fillId="0" borderId="59" xfId="27" applyNumberFormat="1" applyFont="1" applyBorder="1" applyAlignment="1" applyProtection="1">
      <alignment horizontal="right" wrapText="1" indent="1"/>
    </xf>
    <xf numFmtId="1" fontId="22" fillId="0" borderId="51" xfId="21" applyNumberFormat="1" applyFont="1" applyFill="1" applyBorder="1" applyAlignment="1" applyProtection="1">
      <alignment horizontal="right" vertical="center" wrapText="1" indent="1"/>
    </xf>
    <xf numFmtId="1" fontId="29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59" xfId="21" applyNumberFormat="1" applyFont="1" applyFill="1" applyBorder="1" applyAlignment="1" applyProtection="1">
      <alignment horizontal="right" vertical="center" wrapText="1" indent="1"/>
    </xf>
    <xf numFmtId="1" fontId="26" fillId="0" borderId="42" xfId="27" applyNumberFormat="1" applyFont="1" applyBorder="1" applyAlignment="1" applyProtection="1">
      <alignment horizontal="right" wrapText="1" indent="1"/>
    </xf>
    <xf numFmtId="1" fontId="29" fillId="0" borderId="37" xfId="21" applyNumberFormat="1" applyFont="1" applyFill="1" applyBorder="1" applyAlignment="1" applyProtection="1">
      <alignment horizontal="right" vertical="center" wrapText="1" indent="1"/>
    </xf>
    <xf numFmtId="1" fontId="29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43" xfId="21" applyNumberFormat="1" applyFont="1" applyFill="1" applyBorder="1" applyAlignment="1" applyProtection="1">
      <alignment horizontal="right" vertical="center" wrapText="1" indent="1"/>
    </xf>
    <xf numFmtId="1" fontId="26" fillId="0" borderId="39" xfId="27" applyNumberFormat="1" applyFont="1" applyBorder="1" applyAlignment="1" applyProtection="1">
      <alignment horizontal="right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</xf>
    <xf numFmtId="1" fontId="22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76" xfId="21" applyNumberFormat="1" applyFont="1" applyFill="1" applyBorder="1" applyAlignment="1" applyProtection="1">
      <alignment horizontal="right" vertical="center" wrapText="1" indent="1"/>
    </xf>
    <xf numFmtId="1" fontId="27" fillId="0" borderId="27" xfId="27" applyNumberFormat="1" applyFont="1" applyBorder="1" applyAlignment="1" applyProtection="1">
      <alignment horizontal="right" wrapText="1" indent="1"/>
    </xf>
    <xf numFmtId="1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59" xfId="21" applyNumberFormat="1" applyFont="1" applyFill="1" applyBorder="1" applyAlignment="1" applyProtection="1">
      <alignment horizontal="right" vertical="center" wrapText="1" indent="1"/>
    </xf>
    <xf numFmtId="1" fontId="22" fillId="0" borderId="37" xfId="21" applyNumberFormat="1" applyFont="1" applyFill="1" applyBorder="1" applyAlignment="1" applyProtection="1">
      <alignment horizontal="right" vertical="center" wrapText="1" indent="1"/>
    </xf>
    <xf numFmtId="1" fontId="20" fillId="0" borderId="43" xfId="21" applyNumberFormat="1" applyFont="1" applyFill="1" applyBorder="1" applyAlignment="1" applyProtection="1">
      <alignment horizontal="right" vertical="center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76" xfId="21" applyNumberFormat="1" applyFont="1" applyFill="1" applyBorder="1" applyAlignment="1" applyProtection="1">
      <alignment horizontal="right" vertical="center" wrapText="1" indent="1"/>
    </xf>
    <xf numFmtId="1" fontId="28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32" xfId="21" applyNumberFormat="1" applyFont="1" applyFill="1" applyBorder="1" applyAlignment="1" applyProtection="1">
      <alignment horizontal="right" vertical="center" wrapText="1" indent="1"/>
    </xf>
    <xf numFmtId="1" fontId="28" fillId="0" borderId="45" xfId="21" applyNumberFormat="1" applyFont="1" applyFill="1" applyBorder="1" applyAlignment="1" applyProtection="1">
      <alignment horizontal="right" vertical="center" wrapText="1" indent="1"/>
    </xf>
    <xf numFmtId="1" fontId="28" fillId="0" borderId="19" xfId="21" applyNumberFormat="1" applyFont="1" applyFill="1" applyBorder="1" applyAlignment="1" applyProtection="1">
      <alignment horizontal="right" vertical="center" wrapText="1" indent="1"/>
    </xf>
    <xf numFmtId="1" fontId="22" fillId="0" borderId="20" xfId="21" applyNumberFormat="1" applyFont="1" applyFill="1" applyBorder="1" applyAlignment="1" applyProtection="1">
      <alignment horizontal="right" vertical="center" wrapText="1" indent="1"/>
    </xf>
    <xf numFmtId="1" fontId="29" fillId="0" borderId="51" xfId="21" applyNumberFormat="1" applyFont="1" applyFill="1" applyBorder="1" applyAlignment="1" applyProtection="1">
      <alignment horizontal="right" vertical="center" wrapText="1" indent="1"/>
    </xf>
    <xf numFmtId="1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7" xfId="21" applyNumberFormat="1" applyFont="1" applyFill="1" applyBorder="1" applyAlignment="1" applyProtection="1">
      <alignment horizontal="right" vertical="center" wrapText="1" indent="1"/>
    </xf>
    <xf numFmtId="1" fontId="20" fillId="0" borderId="46" xfId="21" applyNumberFormat="1" applyFont="1" applyFill="1" applyBorder="1" applyAlignment="1" applyProtection="1">
      <alignment horizontal="right" vertical="center" wrapText="1" indent="1"/>
    </xf>
    <xf numFmtId="1" fontId="22" fillId="0" borderId="45" xfId="21" applyNumberFormat="1" applyFont="1" applyFill="1" applyBorder="1" applyAlignment="1" applyProtection="1">
      <alignment horizontal="right" vertical="center" wrapText="1" indent="1"/>
    </xf>
    <xf numFmtId="1" fontId="28" fillId="0" borderId="27" xfId="21" applyNumberFormat="1" applyFont="1" applyFill="1" applyBorder="1" applyAlignment="1" applyProtection="1">
      <alignment horizontal="right" vertical="center" wrapText="1" indent="1"/>
    </xf>
    <xf numFmtId="1" fontId="26" fillId="0" borderId="27" xfId="27" applyNumberFormat="1" applyFont="1" applyBorder="1" applyAlignment="1" applyProtection="1">
      <alignment horizontal="right" wrapText="1" indent="1"/>
    </xf>
    <xf numFmtId="1" fontId="20" fillId="0" borderId="53" xfId="21" applyNumberFormat="1" applyFont="1" applyFill="1" applyBorder="1" applyAlignment="1" applyProtection="1">
      <alignment horizontal="right" vertical="center" wrapText="1" indent="1"/>
    </xf>
    <xf numFmtId="1" fontId="20" fillId="0" borderId="45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52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8" xfId="21" applyNumberFormat="1" applyFont="1" applyFill="1" applyBorder="1" applyAlignment="1" applyProtection="1">
      <alignment horizontal="right" vertical="center" wrapText="1" indent="1"/>
    </xf>
    <xf numFmtId="1" fontId="22" fillId="0" borderId="59" xfId="27" applyNumberFormat="1" applyFont="1" applyFill="1" applyBorder="1" applyAlignment="1" applyProtection="1">
      <alignment horizontal="right" wrapText="1" indent="1"/>
    </xf>
    <xf numFmtId="1" fontId="29" fillId="0" borderId="58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43" xfId="27" applyNumberFormat="1" applyFont="1" applyFill="1" applyBorder="1" applyAlignment="1" applyProtection="1">
      <alignment horizontal="right" wrapText="1" indent="1"/>
    </xf>
    <xf numFmtId="1" fontId="22" fillId="0" borderId="57" xfId="27" applyNumberFormat="1" applyFont="1" applyFill="1" applyBorder="1" applyAlignment="1" applyProtection="1">
      <alignment horizontal="right" wrapText="1" indent="1"/>
    </xf>
    <xf numFmtId="1" fontId="22" fillId="0" borderId="57" xfId="27" applyNumberFormat="1" applyFont="1" applyFill="1" applyBorder="1" applyAlignment="1" applyProtection="1">
      <alignment horizontal="right" vertical="center" wrapText="1" indent="1"/>
    </xf>
    <xf numFmtId="1" fontId="22" fillId="0" borderId="43" xfId="27" applyNumberFormat="1" applyFont="1" applyFill="1" applyBorder="1" applyAlignment="1" applyProtection="1">
      <alignment horizontal="right" vertical="center" wrapText="1" indent="1"/>
    </xf>
    <xf numFmtId="1" fontId="29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6" xfId="21" applyNumberFormat="1" applyFont="1" applyFill="1" applyBorder="1" applyAlignment="1" applyProtection="1">
      <alignment horizontal="right" vertical="center" wrapText="1" indent="1"/>
    </xf>
    <xf numFmtId="1" fontId="22" fillId="0" borderId="42" xfId="27" applyNumberFormat="1" applyFont="1" applyFill="1" applyBorder="1" applyAlignment="1" applyProtection="1">
      <alignment horizontal="right" vertical="center" wrapText="1" indent="1"/>
    </xf>
    <xf numFmtId="1" fontId="22" fillId="0" borderId="39" xfId="27" applyNumberFormat="1" applyFont="1" applyFill="1" applyBorder="1" applyAlignment="1" applyProtection="1">
      <alignment horizontal="right" vertical="center" wrapText="1" indent="1"/>
    </xf>
    <xf numFmtId="1" fontId="22" fillId="0" borderId="57" xfId="21" applyNumberFormat="1" applyFont="1" applyFill="1" applyBorder="1" applyAlignment="1" applyProtection="1">
      <alignment horizontal="right" vertical="center" wrapText="1" indent="1"/>
    </xf>
    <xf numFmtId="1" fontId="28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7" xfId="0" applyNumberFormat="1" applyFont="1" applyBorder="1" applyAlignment="1" applyProtection="1">
      <alignment horizontal="right" vertical="center" wrapText="1" indent="1"/>
    </xf>
    <xf numFmtId="1" fontId="26" fillId="0" borderId="43" xfId="0" applyNumberFormat="1" applyFont="1" applyBorder="1" applyAlignment="1" applyProtection="1">
      <alignment horizontal="right" vertical="center" wrapText="1" indent="1"/>
    </xf>
    <xf numFmtId="1" fontId="22" fillId="0" borderId="42" xfId="21" applyNumberFormat="1" applyFont="1" applyFill="1" applyBorder="1" applyAlignment="1" applyProtection="1">
      <alignment horizontal="right" vertical="center" wrapText="1" indent="1"/>
    </xf>
    <xf numFmtId="1" fontId="22" fillId="0" borderId="39" xfId="21" applyNumberFormat="1" applyFont="1" applyFill="1" applyBorder="1" applyAlignment="1" applyProtection="1">
      <alignment horizontal="right" vertical="center" wrapText="1" indent="1"/>
    </xf>
    <xf numFmtId="1" fontId="27" fillId="0" borderId="45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" fontId="25" fillId="0" borderId="45" xfId="0" quotePrefix="1" applyNumberFormat="1" applyFont="1" applyBorder="1" applyAlignment="1" applyProtection="1">
      <alignment horizontal="right" vertical="center" wrapText="1" indent="1"/>
    </xf>
    <xf numFmtId="1" fontId="25" fillId="0" borderId="19" xfId="0" quotePrefix="1" applyNumberFormat="1" applyFont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vertical="center" indent="1"/>
    </xf>
    <xf numFmtId="1" fontId="35" fillId="0" borderId="0" xfId="21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1" applyNumberFormat="1" applyFont="1" applyFill="1" applyBorder="1" applyAlignment="1" applyProtection="1">
      <alignment horizontal="right" vertical="center" wrapText="1" indent="1"/>
    </xf>
    <xf numFmtId="1" fontId="8" fillId="0" borderId="69" xfId="21" applyNumberFormat="1" applyFont="1" applyFill="1" applyBorder="1" applyAlignment="1" applyProtection="1">
      <alignment horizontal="right" vertical="center" wrapText="1" indent="1"/>
    </xf>
    <xf numFmtId="1" fontId="8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63" xfId="21" applyNumberFormat="1" applyFont="1" applyFill="1" applyBorder="1" applyAlignment="1" applyProtection="1">
      <alignment horizontal="right" vertical="center" wrapText="1" indent="1"/>
    </xf>
    <xf numFmtId="1" fontId="7" fillId="0" borderId="52" xfId="21" applyNumberFormat="1" applyFont="1" applyFill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1" applyNumberFormat="1" applyFont="1" applyFill="1" applyBorder="1" applyAlignment="1" applyProtection="1">
      <alignment horizontal="right" vertical="center" wrapText="1" indent="1"/>
    </xf>
    <xf numFmtId="1" fontId="8" fillId="0" borderId="33" xfId="21" applyNumberFormat="1" applyFont="1" applyFill="1" applyBorder="1" applyAlignment="1" applyProtection="1">
      <alignment horizontal="right" vertical="center" wrapText="1" indent="1"/>
    </xf>
    <xf numFmtId="1" fontId="20" fillId="0" borderId="33" xfId="21" applyNumberFormat="1" applyFont="1" applyFill="1" applyBorder="1" applyAlignment="1" applyProtection="1">
      <alignment horizontal="right" vertical="center" wrapText="1" indent="1"/>
    </xf>
    <xf numFmtId="1" fontId="29" fillId="0" borderId="20" xfId="21" applyNumberFormat="1" applyFont="1" applyFill="1" applyBorder="1" applyAlignment="1" applyProtection="1">
      <alignment horizontal="right" vertical="center" wrapText="1" indent="1"/>
    </xf>
    <xf numFmtId="1" fontId="28" fillId="0" borderId="20" xfId="21" applyNumberFormat="1" applyFont="1" applyFill="1" applyBorder="1" applyAlignment="1" applyProtection="1">
      <alignment horizontal="right" vertical="center" wrapText="1" indent="1"/>
    </xf>
    <xf numFmtId="1" fontId="22" fillId="0" borderId="57" xfId="27" applyNumberFormat="1" applyFont="1" applyFill="1" applyBorder="1" applyAlignment="1" applyProtection="1">
      <alignment horizontal="right" indent="1"/>
    </xf>
    <xf numFmtId="1" fontId="29" fillId="0" borderId="43" xfId="27" applyNumberFormat="1" applyFont="1" applyFill="1" applyBorder="1" applyAlignment="1" applyProtection="1">
      <alignment horizontal="right" vertical="center" wrapText="1" indent="1"/>
    </xf>
    <xf numFmtId="1" fontId="22" fillId="0" borderId="76" xfId="27" applyNumberFormat="1" applyFont="1" applyFill="1" applyBorder="1" applyAlignment="1" applyProtection="1">
      <alignment horizontal="right" vertical="center" wrapText="1" indent="1"/>
    </xf>
    <xf numFmtId="1" fontId="29" fillId="0" borderId="41" xfId="21" applyNumberFormat="1" applyFont="1" applyFill="1" applyBorder="1" applyAlignment="1" applyProtection="1">
      <alignment horizontal="right" vertical="center" wrapText="1" indent="1"/>
    </xf>
    <xf numFmtId="1" fontId="22" fillId="0" borderId="43" xfId="21" applyNumberFormat="1" applyFont="1" applyFill="1" applyBorder="1" applyAlignment="1" applyProtection="1">
      <alignment horizontal="right" vertical="center" wrapText="1" indent="1"/>
    </xf>
    <xf numFmtId="1" fontId="28" fillId="0" borderId="41" xfId="21" applyNumberFormat="1" applyFont="1" applyFill="1" applyBorder="1" applyAlignment="1" applyProtection="1">
      <alignment horizontal="right" vertical="center" wrapText="1" indent="1"/>
    </xf>
    <xf numFmtId="1" fontId="12" fillId="0" borderId="0" xfId="21" applyNumberFormat="1" applyFont="1" applyFill="1" applyAlignment="1">
      <alignment horizontal="right" indent="1"/>
    </xf>
    <xf numFmtId="1" fontId="22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4" fontId="30" fillId="0" borderId="24" xfId="21" applyNumberFormat="1" applyFont="1" applyFill="1" applyBorder="1" applyAlignment="1" applyProtection="1">
      <alignment horizontal="center" vertical="center"/>
    </xf>
    <xf numFmtId="164" fontId="18" fillId="0" borderId="0" xfId="0" applyNumberFormat="1" applyFont="1" applyFill="1" applyAlignment="1" applyProtection="1">
      <alignment horizontal="center" textRotation="180" wrapText="1"/>
    </xf>
    <xf numFmtId="164" fontId="30" fillId="0" borderId="62" xfId="0" applyNumberFormat="1" applyFont="1" applyFill="1" applyBorder="1" applyAlignment="1" applyProtection="1">
      <alignment horizontal="center" vertical="center" wrapText="1"/>
    </xf>
    <xf numFmtId="164" fontId="30" fillId="0" borderId="60" xfId="0" applyNumberFormat="1" applyFont="1" applyFill="1" applyBorder="1" applyAlignment="1" applyProtection="1">
      <alignment horizontal="center" vertical="center" wrapText="1"/>
    </xf>
    <xf numFmtId="164" fontId="44" fillId="0" borderId="52" xfId="0" applyNumberFormat="1" applyFont="1" applyFill="1" applyBorder="1" applyAlignment="1" applyProtection="1">
      <alignment horizontal="center" vertical="center" wrapText="1"/>
    </xf>
    <xf numFmtId="164" fontId="30" fillId="0" borderId="59" xfId="0" applyNumberFormat="1" applyFont="1" applyFill="1" applyBorder="1" applyAlignment="1" applyProtection="1">
      <alignment horizontal="center" vertical="center" wrapText="1"/>
    </xf>
    <xf numFmtId="164" fontId="30" fillId="0" borderId="76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40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2" xfId="21" applyFont="1" applyFill="1" applyBorder="1" applyAlignment="1">
      <alignment horizontal="justify" vertical="center" wrapText="1"/>
    </xf>
    <xf numFmtId="164" fontId="24" fillId="0" borderId="0" xfId="0" applyNumberFormat="1" applyFont="1" applyFill="1" applyAlignment="1">
      <alignment horizontal="center" vertical="center" wrapText="1"/>
    </xf>
    <xf numFmtId="0" fontId="29" fillId="0" borderId="47" xfId="0" applyFont="1" applyFill="1" applyBorder="1" applyAlignment="1" applyProtection="1">
      <alignment horizontal="left" indent="1"/>
      <protection locked="0"/>
    </xf>
    <xf numFmtId="0" fontId="29" fillId="0" borderId="72" xfId="0" applyFont="1" applyFill="1" applyBorder="1" applyAlignment="1" applyProtection="1">
      <alignment horizontal="left" indent="1"/>
      <protection locked="0"/>
    </xf>
    <xf numFmtId="0" fontId="29" fillId="0" borderId="56" xfId="0" applyFont="1" applyFill="1" applyBorder="1" applyAlignment="1" applyProtection="1">
      <alignment horizontal="left" indent="1"/>
      <protection locked="0"/>
    </xf>
    <xf numFmtId="0" fontId="29" fillId="0" borderId="4" xfId="0" applyFont="1" applyFill="1" applyBorder="1" applyAlignment="1" applyProtection="1">
      <alignment horizontal="right" indent="1"/>
      <protection locked="0"/>
    </xf>
    <xf numFmtId="0" fontId="29" fillId="0" borderId="17" xfId="0" applyFont="1" applyFill="1" applyBorder="1" applyAlignment="1" applyProtection="1">
      <alignment horizontal="right" indent="1"/>
      <protection locked="0"/>
    </xf>
    <xf numFmtId="0" fontId="29" fillId="0" borderId="30" xfId="0" applyFont="1" applyFill="1" applyBorder="1" applyAlignment="1" applyProtection="1">
      <alignment horizontal="left" indent="1"/>
      <protection locked="0"/>
    </xf>
    <xf numFmtId="0" fontId="29" fillId="0" borderId="31" xfId="0" applyFont="1" applyFill="1" applyBorder="1" applyAlignment="1" applyProtection="1">
      <alignment horizontal="left" indent="1"/>
      <protection locked="0"/>
    </xf>
    <xf numFmtId="0" fontId="29" fillId="0" borderId="75" xfId="0" applyFont="1" applyFill="1" applyBorder="1" applyAlignment="1" applyProtection="1">
      <alignment horizontal="left" indent="1"/>
      <protection locked="0"/>
    </xf>
    <xf numFmtId="0" fontId="29" fillId="0" borderId="6" xfId="0" applyFont="1" applyFill="1" applyBorder="1" applyAlignment="1" applyProtection="1">
      <alignment horizontal="right" indent="1"/>
      <protection locked="0"/>
    </xf>
    <xf numFmtId="0" fontId="29" fillId="0" borderId="23" xfId="0" applyFont="1" applyFill="1" applyBorder="1" applyAlignment="1" applyProtection="1">
      <alignment horizontal="right" indent="1"/>
      <protection locked="0"/>
    </xf>
    <xf numFmtId="0" fontId="30" fillId="0" borderId="34" xfId="0" applyFont="1" applyFill="1" applyBorder="1" applyAlignment="1" applyProtection="1">
      <alignment horizontal="left" indent="1"/>
    </xf>
    <xf numFmtId="0" fontId="30" fillId="0" borderId="35" xfId="0" applyFont="1" applyFill="1" applyBorder="1" applyAlignment="1" applyProtection="1">
      <alignment horizontal="left" indent="1"/>
    </xf>
    <xf numFmtId="0" fontId="30" fillId="0" borderId="33" xfId="0" applyFont="1" applyFill="1" applyBorder="1" applyAlignment="1" applyProtection="1">
      <alignment horizontal="left" indent="1"/>
    </xf>
    <xf numFmtId="0" fontId="28" fillId="0" borderId="14" xfId="0" applyFont="1" applyFill="1" applyBorder="1" applyAlignment="1" applyProtection="1">
      <alignment horizontal="right" indent="1"/>
    </xf>
    <xf numFmtId="0" fontId="28" fillId="0" borderId="19" xfId="0" applyFont="1" applyFill="1" applyBorder="1" applyAlignment="1" applyProtection="1">
      <alignment horizontal="right" indent="1"/>
    </xf>
    <xf numFmtId="0" fontId="30" fillId="0" borderId="64" xfId="0" applyFont="1" applyFill="1" applyBorder="1" applyAlignment="1" applyProtection="1">
      <alignment horizontal="center"/>
    </xf>
    <xf numFmtId="0" fontId="30" fillId="0" borderId="52" xfId="0" applyFont="1" applyFill="1" applyBorder="1" applyAlignment="1" applyProtection="1">
      <alignment horizontal="center"/>
    </xf>
    <xf numFmtId="0" fontId="30" fillId="0" borderId="77" xfId="0" applyFont="1" applyFill="1" applyBorder="1" applyAlignment="1" applyProtection="1">
      <alignment horizontal="center"/>
    </xf>
    <xf numFmtId="0" fontId="30" fillId="0" borderId="16" xfId="0" applyFont="1" applyFill="1" applyBorder="1" applyAlignment="1" applyProtection="1">
      <alignment horizontal="center"/>
    </xf>
    <xf numFmtId="0" fontId="30" fillId="0" borderId="28" xfId="0" applyFont="1" applyFill="1" applyBorder="1" applyAlignment="1" applyProtection="1">
      <alignment horizontal="center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49" fontId="24" fillId="0" borderId="0" xfId="0" applyNumberFormat="1" applyFont="1" applyFill="1" applyBorder="1" applyAlignment="1" applyProtection="1">
      <alignment horizontal="left" vertical="center"/>
    </xf>
    <xf numFmtId="0" fontId="77" fillId="0" borderId="12" xfId="0" applyFont="1" applyFill="1" applyBorder="1" applyAlignment="1" applyProtection="1">
      <alignment horizontal="left" vertical="center" wrapText="1"/>
    </xf>
    <xf numFmtId="0" fontId="77" fillId="0" borderId="21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6" fillId="0" borderId="4" xfId="25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6" fillId="0" borderId="4" xfId="25" applyBorder="1" applyAlignment="1">
      <alignment horizontal="center"/>
    </xf>
    <xf numFmtId="0" fontId="46" fillId="0" borderId="17" xfId="25" applyBorder="1" applyAlignment="1">
      <alignment horizontal="center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0" applyFont="1" applyFill="1" applyAlignment="1">
      <alignment horizontal="center" wrapText="1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6" xfId="0" applyNumberFormat="1" applyFont="1" applyFill="1" applyBorder="1" applyAlignment="1" applyProtection="1">
      <alignment horizontal="left" vertical="center" wrapText="1" indent="2"/>
    </xf>
    <xf numFmtId="164" fontId="8" fillId="0" borderId="62" xfId="0" applyNumberFormat="1" applyFont="1" applyFill="1" applyBorder="1" applyAlignment="1" applyProtection="1">
      <alignment horizontal="center" vertical="center" wrapText="1"/>
    </xf>
    <xf numFmtId="164" fontId="8" fillId="0" borderId="60" xfId="0" applyNumberFormat="1" applyFont="1" applyFill="1" applyBorder="1" applyAlignment="1" applyProtection="1">
      <alignment horizontal="center" vertical="center" wrapText="1"/>
    </xf>
    <xf numFmtId="164" fontId="8" fillId="0" borderId="62" xfId="0" applyNumberFormat="1" applyFont="1" applyFill="1" applyBorder="1" applyAlignment="1" applyProtection="1">
      <alignment horizontal="center" vertical="center"/>
    </xf>
    <xf numFmtId="164" fontId="8" fillId="0" borderId="60" xfId="0" applyNumberFormat="1" applyFont="1" applyFill="1" applyBorder="1" applyAlignment="1" applyProtection="1">
      <alignment horizontal="center" vertical="center"/>
    </xf>
    <xf numFmtId="164" fontId="8" fillId="0" borderId="47" xfId="0" applyNumberFormat="1" applyFont="1" applyFill="1" applyBorder="1" applyAlignment="1" applyProtection="1">
      <alignment horizontal="center" vertical="center"/>
    </xf>
    <xf numFmtId="164" fontId="8" fillId="0" borderId="72" xfId="0" applyNumberFormat="1" applyFont="1" applyFill="1" applyBorder="1" applyAlignment="1" applyProtection="1">
      <alignment horizontal="center" vertical="center"/>
    </xf>
    <xf numFmtId="164" fontId="8" fillId="0" borderId="58" xfId="0" applyNumberFormat="1" applyFont="1" applyFill="1" applyBorder="1" applyAlignment="1" applyProtection="1">
      <alignment horizontal="center" vertical="center"/>
    </xf>
    <xf numFmtId="0" fontId="29" fillId="0" borderId="52" xfId="0" applyFont="1" applyFill="1" applyBorder="1" applyAlignment="1">
      <alignment horizontal="justify" vertical="center" wrapText="1"/>
    </xf>
    <xf numFmtId="0" fontId="16" fillId="0" borderId="0" xfId="0" applyFont="1" applyAlignment="1">
      <alignment horizont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9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5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2" xfId="18" applyFont="1" applyBorder="1" applyAlignment="1">
      <alignment horizontal="center" vertical="center" wrapText="1"/>
    </xf>
    <xf numFmtId="0" fontId="31" fillId="0" borderId="39" xfId="18" applyFont="1" applyBorder="1" applyAlignment="1">
      <alignment horizontal="center" vertical="center" wrapText="1"/>
    </xf>
    <xf numFmtId="0" fontId="31" fillId="0" borderId="60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5" xfId="0" applyFont="1" applyBorder="1" applyAlignment="1" applyProtection="1">
      <alignment horizontal="left" vertical="center" indent="2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</cellXfs>
  <cellStyles count="28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00" zoomScaleSheetLayoutView="100" workbookViewId="0">
      <selection activeCell="O12" sqref="O12"/>
    </sheetView>
  </sheetViews>
  <sheetFormatPr defaultRowHeight="15.75" x14ac:dyDescent="0.25"/>
  <cols>
    <col min="1" max="1" width="9.5" style="305" customWidth="1"/>
    <col min="2" max="2" width="91.6640625" style="305" customWidth="1"/>
    <col min="3" max="3" width="21.6640625" style="556" customWidth="1"/>
    <col min="4" max="5" width="14.5" style="316" hidden="1" customWidth="1"/>
    <col min="6" max="6" width="15.33203125" style="316" hidden="1" customWidth="1"/>
    <col min="7" max="7" width="11.1640625" style="316" hidden="1" customWidth="1"/>
    <col min="8" max="8" width="13.5" style="756" hidden="1" customWidth="1"/>
    <col min="9" max="9" width="17.83203125" style="757" hidden="1" customWidth="1"/>
    <col min="10" max="10" width="9.33203125" style="316" customWidth="1"/>
    <col min="11" max="16384" width="9.33203125" style="316"/>
  </cols>
  <sheetData>
    <row r="1" spans="1:9" ht="15.95" customHeight="1" x14ac:dyDescent="0.25">
      <c r="A1" s="1171" t="s">
        <v>28</v>
      </c>
      <c r="B1" s="1171"/>
      <c r="C1" s="1171"/>
    </row>
    <row r="2" spans="1:9" ht="15.95" customHeight="1" thickBot="1" x14ac:dyDescent="0.3">
      <c r="A2" s="1170" t="s">
        <v>161</v>
      </c>
      <c r="B2" s="1170"/>
      <c r="C2" s="242" t="s">
        <v>688</v>
      </c>
    </row>
    <row r="3" spans="1:9" ht="38.1" customHeight="1" thickBot="1" x14ac:dyDescent="0.3">
      <c r="A3" s="22" t="s">
        <v>84</v>
      </c>
      <c r="B3" s="23" t="s">
        <v>30</v>
      </c>
      <c r="C3" s="37" t="s">
        <v>729</v>
      </c>
      <c r="D3" s="305" t="s">
        <v>699</v>
      </c>
      <c r="E3" s="305" t="s">
        <v>700</v>
      </c>
      <c r="F3" s="305" t="s">
        <v>701</v>
      </c>
      <c r="G3" s="305"/>
    </row>
    <row r="4" spans="1:9" s="317" customFormat="1" ht="12" customHeight="1" thickBot="1" x14ac:dyDescent="0.25">
      <c r="A4" s="311" t="s">
        <v>546</v>
      </c>
      <c r="B4" s="312" t="s">
        <v>547</v>
      </c>
      <c r="C4" s="313" t="s">
        <v>548</v>
      </c>
      <c r="H4" s="756"/>
      <c r="I4" s="757"/>
    </row>
    <row r="5" spans="1:9" s="318" customFormat="1" ht="12" customHeight="1" thickBot="1" x14ac:dyDescent="0.25">
      <c r="A5" s="19" t="s">
        <v>31</v>
      </c>
      <c r="B5" s="20" t="s">
        <v>260</v>
      </c>
      <c r="C5" s="233">
        <f>SUM(D5:F5)</f>
        <v>1317581468</v>
      </c>
      <c r="D5" s="443">
        <f>+D6+D7+D8+D9+D10+D11</f>
        <v>1317581468</v>
      </c>
      <c r="E5" s="233">
        <f>+E6+E7+E8+E9+E10+E11</f>
        <v>0</v>
      </c>
      <c r="F5" s="233">
        <f>+F6+F7+F8+F9+F10+F11</f>
        <v>0</v>
      </c>
      <c r="H5" s="758">
        <f>'1.2.sz.mell. '!C5+'1.3.sz.mell.'!C5+'1.4.sz.mell. '!C5</f>
        <v>1317581468</v>
      </c>
      <c r="I5" s="758">
        <f t="shared" ref="I5:I68" si="0">C5-H5</f>
        <v>0</v>
      </c>
    </row>
    <row r="6" spans="1:9" s="318" customFormat="1" ht="12" customHeight="1" thickBot="1" x14ac:dyDescent="0.25">
      <c r="A6" s="14" t="s">
        <v>114</v>
      </c>
      <c r="B6" s="319" t="s">
        <v>261</v>
      </c>
      <c r="C6" s="233">
        <f t="shared" ref="C6:C69" si="1">SUM(D6:F6)</f>
        <v>227855923</v>
      </c>
      <c r="D6" s="357">
        <v>227855923</v>
      </c>
      <c r="E6" s="357"/>
      <c r="F6" s="357"/>
      <c r="H6" s="759">
        <f>'1.2.sz.mell. '!C6+'1.3.sz.mell.'!C6+'1.4.sz.mell. '!C6</f>
        <v>227855923</v>
      </c>
      <c r="I6" s="760">
        <f t="shared" si="0"/>
        <v>0</v>
      </c>
    </row>
    <row r="7" spans="1:9" s="318" customFormat="1" ht="12" customHeight="1" thickBot="1" x14ac:dyDescent="0.25">
      <c r="A7" s="13" t="s">
        <v>115</v>
      </c>
      <c r="B7" s="320" t="s">
        <v>262</v>
      </c>
      <c r="C7" s="233">
        <f t="shared" si="1"/>
        <v>224734134</v>
      </c>
      <c r="D7" s="237">
        <v>224734134</v>
      </c>
      <c r="E7" s="237"/>
      <c r="F7" s="237"/>
      <c r="H7" s="761">
        <f>'1.2.sz.mell. '!C7+'1.3.sz.mell.'!C7+'1.4.sz.mell. '!C7</f>
        <v>224734134</v>
      </c>
      <c r="I7" s="762">
        <f t="shared" si="0"/>
        <v>0</v>
      </c>
    </row>
    <row r="8" spans="1:9" s="318" customFormat="1" ht="12" customHeight="1" thickBot="1" x14ac:dyDescent="0.25">
      <c r="A8" s="13" t="s">
        <v>116</v>
      </c>
      <c r="B8" s="320" t="s">
        <v>668</v>
      </c>
      <c r="C8" s="233">
        <f t="shared" si="1"/>
        <v>565964345</v>
      </c>
      <c r="D8" s="237">
        <f>126991000+65060600+119410000+192410145+62092600</f>
        <v>565964345</v>
      </c>
      <c r="E8" s="237"/>
      <c r="F8" s="237"/>
      <c r="H8" s="761">
        <f>'1.2.sz.mell. '!C8+'1.3.sz.mell.'!C8+'1.4.sz.mell. '!C8</f>
        <v>565964345</v>
      </c>
      <c r="I8" s="762">
        <f t="shared" si="0"/>
        <v>0</v>
      </c>
    </row>
    <row r="9" spans="1:9" s="318" customFormat="1" ht="12" customHeight="1" thickBot="1" x14ac:dyDescent="0.25">
      <c r="A9" s="13" t="s">
        <v>117</v>
      </c>
      <c r="B9" s="320" t="s">
        <v>264</v>
      </c>
      <c r="C9" s="233">
        <f t="shared" si="1"/>
        <v>28744040</v>
      </c>
      <c r="D9" s="237">
        <f>16122040+12622000</f>
        <v>28744040</v>
      </c>
      <c r="E9" s="237"/>
      <c r="F9" s="237"/>
      <c r="H9" s="761">
        <f>'1.2.sz.mell. '!C9+'1.3.sz.mell.'!C9+'1.4.sz.mell. '!C9</f>
        <v>28744040</v>
      </c>
      <c r="I9" s="762">
        <f t="shared" si="0"/>
        <v>0</v>
      </c>
    </row>
    <row r="10" spans="1:9" s="318" customFormat="1" ht="12" customHeight="1" thickBot="1" x14ac:dyDescent="0.25">
      <c r="A10" s="13" t="s">
        <v>158</v>
      </c>
      <c r="B10" s="229" t="s">
        <v>549</v>
      </c>
      <c r="C10" s="233">
        <f t="shared" si="1"/>
        <v>270283026</v>
      </c>
      <c r="D10" s="237">
        <f>16254886+63796813+190231327</f>
        <v>270283026</v>
      </c>
      <c r="E10" s="237"/>
      <c r="F10" s="237"/>
      <c r="H10" s="761">
        <f>'1.2.sz.mell. '!C10+'1.3.sz.mell.'!C10+'1.4.sz.mell. '!C10</f>
        <v>270283026</v>
      </c>
      <c r="I10" s="762">
        <f t="shared" si="0"/>
        <v>0</v>
      </c>
    </row>
    <row r="11" spans="1:9" s="318" customFormat="1" ht="12" customHeight="1" thickBot="1" x14ac:dyDescent="0.25">
      <c r="A11" s="15" t="s">
        <v>118</v>
      </c>
      <c r="B11" s="230" t="s">
        <v>550</v>
      </c>
      <c r="C11" s="233">
        <f t="shared" si="1"/>
        <v>0</v>
      </c>
      <c r="D11" s="217"/>
      <c r="E11" s="234"/>
      <c r="F11" s="234"/>
      <c r="H11" s="763">
        <f>'1.2.sz.mell. '!C11+'1.3.sz.mell.'!C11+'1.4.sz.mell. '!C11</f>
        <v>0</v>
      </c>
      <c r="I11" s="764">
        <f t="shared" si="0"/>
        <v>0</v>
      </c>
    </row>
    <row r="12" spans="1:9" s="318" customFormat="1" ht="12" customHeight="1" thickBot="1" x14ac:dyDescent="0.25">
      <c r="A12" s="19" t="s">
        <v>32</v>
      </c>
      <c r="B12" s="228" t="s">
        <v>265</v>
      </c>
      <c r="C12" s="233">
        <f t="shared" si="1"/>
        <v>180965882</v>
      </c>
      <c r="D12" s="443">
        <f>+D13+D14+D15+D16+D17</f>
        <v>158357110</v>
      </c>
      <c r="E12" s="233">
        <f>+E13+E14+E15+E16+E17</f>
        <v>3096237</v>
      </c>
      <c r="F12" s="233">
        <f>+F13+F14+F15+F16+F17</f>
        <v>19512535</v>
      </c>
      <c r="H12" s="758">
        <f>'1.2.sz.mell. '!C12+'1.3.sz.mell.'!C12+'1.4.sz.mell. '!C12</f>
        <v>180965882</v>
      </c>
      <c r="I12" s="758">
        <f t="shared" si="0"/>
        <v>0</v>
      </c>
    </row>
    <row r="13" spans="1:9" s="318" customFormat="1" ht="12" customHeight="1" thickBot="1" x14ac:dyDescent="0.25">
      <c r="A13" s="14" t="s">
        <v>120</v>
      </c>
      <c r="B13" s="319" t="s">
        <v>266</v>
      </c>
      <c r="C13" s="233">
        <f t="shared" si="1"/>
        <v>0</v>
      </c>
      <c r="D13" s="446"/>
      <c r="E13" s="235"/>
      <c r="F13" s="235"/>
      <c r="H13" s="759">
        <f>'1.2.sz.mell. '!C13+'1.3.sz.mell.'!C13+'1.4.sz.mell. '!C13</f>
        <v>0</v>
      </c>
      <c r="I13" s="760">
        <f t="shared" si="0"/>
        <v>0</v>
      </c>
    </row>
    <row r="14" spans="1:9" s="318" customFormat="1" ht="12" customHeight="1" thickBot="1" x14ac:dyDescent="0.25">
      <c r="A14" s="13" t="s">
        <v>121</v>
      </c>
      <c r="B14" s="320" t="s">
        <v>267</v>
      </c>
      <c r="C14" s="233">
        <f t="shared" si="1"/>
        <v>0</v>
      </c>
      <c r="D14" s="217"/>
      <c r="E14" s="234"/>
      <c r="F14" s="234"/>
      <c r="H14" s="761">
        <f>'1.2.sz.mell. '!C14+'1.3.sz.mell.'!C14+'1.4.sz.mell. '!C14</f>
        <v>0</v>
      </c>
      <c r="I14" s="762">
        <f t="shared" si="0"/>
        <v>0</v>
      </c>
    </row>
    <row r="15" spans="1:9" s="318" customFormat="1" ht="12" customHeight="1" thickBot="1" x14ac:dyDescent="0.25">
      <c r="A15" s="13" t="s">
        <v>122</v>
      </c>
      <c r="B15" s="320" t="s">
        <v>436</v>
      </c>
      <c r="C15" s="233">
        <f t="shared" si="1"/>
        <v>0</v>
      </c>
      <c r="D15" s="217"/>
      <c r="E15" s="234"/>
      <c r="F15" s="234"/>
      <c r="H15" s="761">
        <f>'1.2.sz.mell. '!C15+'1.3.sz.mell.'!C15+'1.4.sz.mell. '!C15</f>
        <v>0</v>
      </c>
      <c r="I15" s="762">
        <f t="shared" si="0"/>
        <v>0</v>
      </c>
    </row>
    <row r="16" spans="1:9" s="318" customFormat="1" ht="12" customHeight="1" thickBot="1" x14ac:dyDescent="0.25">
      <c r="A16" s="13" t="s">
        <v>123</v>
      </c>
      <c r="B16" s="320" t="s">
        <v>437</v>
      </c>
      <c r="C16" s="233">
        <f t="shared" si="1"/>
        <v>0</v>
      </c>
      <c r="D16" s="217"/>
      <c r="E16" s="234"/>
      <c r="F16" s="234"/>
      <c r="H16" s="761">
        <f>'1.2.sz.mell. '!C16+'1.3.sz.mell.'!C16+'1.4.sz.mell. '!C16</f>
        <v>0</v>
      </c>
      <c r="I16" s="762">
        <f t="shared" si="0"/>
        <v>0</v>
      </c>
    </row>
    <row r="17" spans="1:9" s="318" customFormat="1" ht="12" customHeight="1" thickBot="1" x14ac:dyDescent="0.25">
      <c r="A17" s="13" t="s">
        <v>124</v>
      </c>
      <c r="B17" s="320" t="s">
        <v>268</v>
      </c>
      <c r="C17" s="233">
        <f t="shared" si="1"/>
        <v>180965882</v>
      </c>
      <c r="D17" s="416">
        <f>3900000+4320000+125887110+24250000</f>
        <v>158357110</v>
      </c>
      <c r="E17" s="413">
        <v>3096237</v>
      </c>
      <c r="F17" s="237">
        <v>19512535</v>
      </c>
      <c r="H17" s="761">
        <f>'1.2.sz.mell. '!C17+'1.3.sz.mell.'!C17+'1.4.sz.mell. '!C17</f>
        <v>180965882</v>
      </c>
      <c r="I17" s="762">
        <f t="shared" si="0"/>
        <v>0</v>
      </c>
    </row>
    <row r="18" spans="1:9" s="318" customFormat="1" ht="12" customHeight="1" thickBot="1" x14ac:dyDescent="0.25">
      <c r="A18" s="15" t="s">
        <v>133</v>
      </c>
      <c r="B18" s="230" t="s">
        <v>269</v>
      </c>
      <c r="C18" s="233">
        <f t="shared" si="1"/>
        <v>399535</v>
      </c>
      <c r="D18" s="415"/>
      <c r="E18" s="308"/>
      <c r="F18" s="308">
        <v>399535</v>
      </c>
      <c r="H18" s="763">
        <f>'1.2.sz.mell. '!C18+'1.3.sz.mell.'!C18+'1.4.sz.mell. '!C18</f>
        <v>399535</v>
      </c>
      <c r="I18" s="764">
        <f t="shared" si="0"/>
        <v>0</v>
      </c>
    </row>
    <row r="19" spans="1:9" s="318" customFormat="1" ht="12" customHeight="1" thickBot="1" x14ac:dyDescent="0.25">
      <c r="A19" s="19" t="s">
        <v>33</v>
      </c>
      <c r="B19" s="20" t="s">
        <v>270</v>
      </c>
      <c r="C19" s="233">
        <f t="shared" si="1"/>
        <v>13442271</v>
      </c>
      <c r="D19" s="443">
        <f>+D20+D21+D22+D23+D24</f>
        <v>13442271</v>
      </c>
      <c r="E19" s="233">
        <f>+E20+E21+E22+E23+E24</f>
        <v>0</v>
      </c>
      <c r="F19" s="233">
        <f>+F20+F21+F22+F23+F24</f>
        <v>0</v>
      </c>
      <c r="H19" s="758">
        <f>'1.2.sz.mell. '!C19+'1.3.sz.mell.'!C19+'1.4.sz.mell. '!C19</f>
        <v>13442271</v>
      </c>
      <c r="I19" s="758">
        <f t="shared" si="0"/>
        <v>0</v>
      </c>
    </row>
    <row r="20" spans="1:9" s="318" customFormat="1" ht="12" customHeight="1" thickBot="1" x14ac:dyDescent="0.25">
      <c r="A20" s="14" t="s">
        <v>103</v>
      </c>
      <c r="B20" s="319" t="s">
        <v>271</v>
      </c>
      <c r="C20" s="233">
        <f t="shared" si="1"/>
        <v>0</v>
      </c>
      <c r="D20" s="526"/>
      <c r="E20" s="410"/>
      <c r="F20" s="410"/>
      <c r="H20" s="759">
        <f>'1.2.sz.mell. '!C20+'1.3.sz.mell.'!C20+'1.4.sz.mell. '!C20</f>
        <v>0</v>
      </c>
      <c r="I20" s="760">
        <f t="shared" si="0"/>
        <v>0</v>
      </c>
    </row>
    <row r="21" spans="1:9" s="318" customFormat="1" ht="12" customHeight="1" thickBot="1" x14ac:dyDescent="0.25">
      <c r="A21" s="13" t="s">
        <v>104</v>
      </c>
      <c r="B21" s="320" t="s">
        <v>272</v>
      </c>
      <c r="C21" s="233">
        <f t="shared" si="1"/>
        <v>0</v>
      </c>
      <c r="D21" s="411"/>
      <c r="E21" s="237"/>
      <c r="F21" s="237"/>
      <c r="H21" s="761">
        <f>'1.2.sz.mell. '!C21+'1.3.sz.mell.'!C21+'1.4.sz.mell. '!C21</f>
        <v>0</v>
      </c>
      <c r="I21" s="762">
        <f t="shared" si="0"/>
        <v>0</v>
      </c>
    </row>
    <row r="22" spans="1:9" s="318" customFormat="1" ht="12" customHeight="1" thickBot="1" x14ac:dyDescent="0.25">
      <c r="A22" s="13" t="s">
        <v>105</v>
      </c>
      <c r="B22" s="320" t="s">
        <v>438</v>
      </c>
      <c r="C22" s="233">
        <f t="shared" si="1"/>
        <v>0</v>
      </c>
      <c r="D22" s="411"/>
      <c r="E22" s="237"/>
      <c r="F22" s="237"/>
      <c r="H22" s="761">
        <f>'1.2.sz.mell. '!C22+'1.3.sz.mell.'!C22+'1.4.sz.mell. '!C22</f>
        <v>0</v>
      </c>
      <c r="I22" s="762">
        <f t="shared" si="0"/>
        <v>0</v>
      </c>
    </row>
    <row r="23" spans="1:9" s="318" customFormat="1" ht="12" customHeight="1" thickBot="1" x14ac:dyDescent="0.25">
      <c r="A23" s="13" t="s">
        <v>106</v>
      </c>
      <c r="B23" s="320" t="s">
        <v>439</v>
      </c>
      <c r="C23" s="233">
        <f t="shared" si="1"/>
        <v>0</v>
      </c>
      <c r="D23" s="411"/>
      <c r="E23" s="237"/>
      <c r="F23" s="237"/>
      <c r="H23" s="761">
        <f>'1.2.sz.mell. '!C23+'1.3.sz.mell.'!C23+'1.4.sz.mell. '!C23</f>
        <v>0</v>
      </c>
      <c r="I23" s="762">
        <f t="shared" si="0"/>
        <v>0</v>
      </c>
    </row>
    <row r="24" spans="1:9" s="318" customFormat="1" ht="12" customHeight="1" thickBot="1" x14ac:dyDescent="0.25">
      <c r="A24" s="13" t="s">
        <v>178</v>
      </c>
      <c r="B24" s="320" t="s">
        <v>273</v>
      </c>
      <c r="C24" s="233">
        <f t="shared" si="1"/>
        <v>13442271</v>
      </c>
      <c r="D24" s="411">
        <f>5866130+3779393+3796748</f>
        <v>13442271</v>
      </c>
      <c r="E24" s="237"/>
      <c r="F24" s="237"/>
      <c r="H24" s="761">
        <f>'1.2.sz.mell. '!C24+'1.3.sz.mell.'!C24+'1.4.sz.mell. '!C24</f>
        <v>13442271</v>
      </c>
      <c r="I24" s="762">
        <f t="shared" si="0"/>
        <v>0</v>
      </c>
    </row>
    <row r="25" spans="1:9" s="318" customFormat="1" ht="12" customHeight="1" thickBot="1" x14ac:dyDescent="0.25">
      <c r="A25" s="15" t="s">
        <v>179</v>
      </c>
      <c r="B25" s="321" t="s">
        <v>274</v>
      </c>
      <c r="C25" s="233">
        <f t="shared" si="1"/>
        <v>13442271</v>
      </c>
      <c r="D25" s="415">
        <f>9645523+3796748</f>
        <v>13442271</v>
      </c>
      <c r="E25" s="308"/>
      <c r="F25" s="308"/>
      <c r="H25" s="763">
        <f>'1.2.sz.mell. '!C25+'1.3.sz.mell.'!C25+'1.4.sz.mell. '!C25</f>
        <v>13442271</v>
      </c>
      <c r="I25" s="764">
        <f t="shared" si="0"/>
        <v>0</v>
      </c>
    </row>
    <row r="26" spans="1:9" s="318" customFormat="1" ht="12" customHeight="1" thickBot="1" x14ac:dyDescent="0.25">
      <c r="A26" s="19" t="s">
        <v>180</v>
      </c>
      <c r="B26" s="20" t="s">
        <v>275</v>
      </c>
      <c r="C26" s="233">
        <f t="shared" si="1"/>
        <v>352658000</v>
      </c>
      <c r="D26" s="448">
        <f>+D27+D31+D32+D33</f>
        <v>352658000</v>
      </c>
      <c r="E26" s="238">
        <f>+E27+E31+E32+E33</f>
        <v>0</v>
      </c>
      <c r="F26" s="238">
        <f>+F27+F31+F32+F33</f>
        <v>0</v>
      </c>
      <c r="H26" s="758">
        <f>'1.2.sz.mell. '!C26+'1.3.sz.mell.'!C26+'1.4.sz.mell. '!C26</f>
        <v>352658000</v>
      </c>
      <c r="I26" s="758">
        <f t="shared" si="0"/>
        <v>0</v>
      </c>
    </row>
    <row r="27" spans="1:9" s="318" customFormat="1" ht="12" customHeight="1" thickBot="1" x14ac:dyDescent="0.25">
      <c r="A27" s="14" t="s">
        <v>276</v>
      </c>
      <c r="B27" s="319" t="s">
        <v>551</v>
      </c>
      <c r="C27" s="233">
        <f t="shared" si="1"/>
        <v>308654000</v>
      </c>
      <c r="D27" s="527">
        <f>SUM(D28:D30)</f>
        <v>308654000</v>
      </c>
      <c r="E27" s="314"/>
      <c r="F27" s="314"/>
      <c r="H27" s="759">
        <f>'1.2.sz.mell. '!C27+'1.3.sz.mell.'!C27+'1.4.sz.mell. '!C27</f>
        <v>308654000</v>
      </c>
      <c r="I27" s="760">
        <f t="shared" si="0"/>
        <v>0</v>
      </c>
    </row>
    <row r="28" spans="1:9" s="318" customFormat="1" ht="12" customHeight="1" thickBot="1" x14ac:dyDescent="0.25">
      <c r="A28" s="13" t="s">
        <v>277</v>
      </c>
      <c r="B28" s="320" t="s">
        <v>282</v>
      </c>
      <c r="C28" s="233">
        <f t="shared" si="1"/>
        <v>77500000</v>
      </c>
      <c r="D28" s="217">
        <f>7500000+70000000</f>
        <v>77500000</v>
      </c>
      <c r="E28" s="234"/>
      <c r="F28" s="234"/>
      <c r="H28" s="761">
        <f>'1.2.sz.mell. '!C28+'1.3.sz.mell.'!C28+'1.4.sz.mell. '!C28</f>
        <v>77500000</v>
      </c>
      <c r="I28" s="762">
        <f t="shared" si="0"/>
        <v>0</v>
      </c>
    </row>
    <row r="29" spans="1:9" s="318" customFormat="1" ht="12" customHeight="1" thickBot="1" x14ac:dyDescent="0.25">
      <c r="A29" s="13" t="s">
        <v>278</v>
      </c>
      <c r="B29" s="320" t="s">
        <v>654</v>
      </c>
      <c r="C29" s="233">
        <f t="shared" si="1"/>
        <v>231154000</v>
      </c>
      <c r="D29" s="217">
        <v>231154000</v>
      </c>
      <c r="E29" s="234"/>
      <c r="F29" s="234"/>
      <c r="H29" s="761">
        <f>'1.2.sz.mell. '!C29+'1.3.sz.mell.'!C29+'1.4.sz.mell. '!C29</f>
        <v>231154000</v>
      </c>
      <c r="I29" s="762">
        <f t="shared" si="0"/>
        <v>0</v>
      </c>
    </row>
    <row r="30" spans="1:9" s="318" customFormat="1" ht="12" customHeight="1" thickBot="1" x14ac:dyDescent="0.25">
      <c r="A30" s="13" t="s">
        <v>279</v>
      </c>
      <c r="B30" s="320" t="s">
        <v>655</v>
      </c>
      <c r="C30" s="233">
        <f t="shared" si="1"/>
        <v>0</v>
      </c>
      <c r="D30" s="411"/>
      <c r="E30" s="237"/>
      <c r="F30" s="237"/>
      <c r="H30" s="761">
        <f>'1.2.sz.mell. '!C30+'1.3.sz.mell.'!C30+'1.4.sz.mell. '!C30</f>
        <v>0</v>
      </c>
      <c r="I30" s="762">
        <f t="shared" si="0"/>
        <v>0</v>
      </c>
    </row>
    <row r="31" spans="1:9" s="318" customFormat="1" ht="12" customHeight="1" thickBot="1" x14ac:dyDescent="0.25">
      <c r="A31" s="13" t="s">
        <v>656</v>
      </c>
      <c r="B31" s="320" t="s">
        <v>284</v>
      </c>
      <c r="C31" s="233">
        <f t="shared" si="1"/>
        <v>28000000</v>
      </c>
      <c r="D31" s="217">
        <v>28000000</v>
      </c>
      <c r="E31" s="234"/>
      <c r="F31" s="234"/>
      <c r="H31" s="761">
        <f>'1.2.sz.mell. '!C31+'1.3.sz.mell.'!C31+'1.4.sz.mell. '!C31</f>
        <v>28000000</v>
      </c>
      <c r="I31" s="762">
        <f t="shared" si="0"/>
        <v>0</v>
      </c>
    </row>
    <row r="32" spans="1:9" s="318" customFormat="1" ht="12" customHeight="1" thickBot="1" x14ac:dyDescent="0.25">
      <c r="A32" s="13" t="s">
        <v>281</v>
      </c>
      <c r="B32" s="320" t="s">
        <v>285</v>
      </c>
      <c r="C32" s="233">
        <f t="shared" si="1"/>
        <v>4504000</v>
      </c>
      <c r="D32" s="217">
        <f>4000+4500000</f>
        <v>4504000</v>
      </c>
      <c r="E32" s="234"/>
      <c r="F32" s="234"/>
      <c r="H32" s="761">
        <f>'1.2.sz.mell. '!C32+'1.3.sz.mell.'!C32+'1.4.sz.mell. '!C32</f>
        <v>4504000</v>
      </c>
      <c r="I32" s="762">
        <f t="shared" si="0"/>
        <v>0</v>
      </c>
    </row>
    <row r="33" spans="1:9" s="318" customFormat="1" ht="12" customHeight="1" thickBot="1" x14ac:dyDescent="0.25">
      <c r="A33" s="15" t="s">
        <v>657</v>
      </c>
      <c r="B33" s="321" t="s">
        <v>286</v>
      </c>
      <c r="C33" s="233">
        <f t="shared" si="1"/>
        <v>11500000</v>
      </c>
      <c r="D33" s="415">
        <f>1500000+2000000+1000000+7000000</f>
        <v>11500000</v>
      </c>
      <c r="E33" s="308"/>
      <c r="F33" s="308"/>
      <c r="H33" s="763">
        <f>'1.2.sz.mell. '!C33+'1.3.sz.mell.'!C33+'1.4.sz.mell. '!C33</f>
        <v>11500000</v>
      </c>
      <c r="I33" s="764">
        <f t="shared" si="0"/>
        <v>0</v>
      </c>
    </row>
    <row r="34" spans="1:9" s="318" customFormat="1" ht="12" customHeight="1" thickBot="1" x14ac:dyDescent="0.25">
      <c r="A34" s="19" t="s">
        <v>35</v>
      </c>
      <c r="B34" s="20" t="s">
        <v>554</v>
      </c>
      <c r="C34" s="233">
        <f t="shared" si="1"/>
        <v>431324867</v>
      </c>
      <c r="D34" s="443">
        <f>SUM(D35:D45)</f>
        <v>40284669</v>
      </c>
      <c r="E34" s="233">
        <f>SUM(E35:E45)</f>
        <v>8419440</v>
      </c>
      <c r="F34" s="233">
        <f>SUM(F35:F45)</f>
        <v>382620758</v>
      </c>
      <c r="H34" s="758">
        <f>'1.2.sz.mell. '!C34+'1.3.sz.mell.'!C34+'1.4.sz.mell. '!C34</f>
        <v>431324867</v>
      </c>
      <c r="I34" s="758">
        <f t="shared" si="0"/>
        <v>0</v>
      </c>
    </row>
    <row r="35" spans="1:9" s="318" customFormat="1" ht="12" customHeight="1" thickBot="1" x14ac:dyDescent="0.25">
      <c r="A35" s="14" t="s">
        <v>107</v>
      </c>
      <c r="B35" s="319" t="s">
        <v>289</v>
      </c>
      <c r="C35" s="233">
        <f t="shared" si="1"/>
        <v>12179000</v>
      </c>
      <c r="D35" s="451">
        <v>12159000</v>
      </c>
      <c r="E35" s="357"/>
      <c r="F35" s="357">
        <v>20000</v>
      </c>
      <c r="H35" s="759">
        <f>'1.2.sz.mell. '!C35+'1.3.sz.mell.'!C35+'1.4.sz.mell. '!C35</f>
        <v>12179000</v>
      </c>
      <c r="I35" s="760">
        <f t="shared" si="0"/>
        <v>0</v>
      </c>
    </row>
    <row r="36" spans="1:9" s="318" customFormat="1" ht="13.5" customHeight="1" thickBot="1" x14ac:dyDescent="0.25">
      <c r="A36" s="13" t="s">
        <v>108</v>
      </c>
      <c r="B36" s="320" t="s">
        <v>290</v>
      </c>
      <c r="C36" s="233">
        <f t="shared" si="1"/>
        <v>72301925</v>
      </c>
      <c r="D36" s="411">
        <f>13910169+100000</f>
        <v>14010169</v>
      </c>
      <c r="E36" s="237">
        <f>500000+1198440+380000+4150000</f>
        <v>6228440</v>
      </c>
      <c r="F36" s="357">
        <v>52063316</v>
      </c>
      <c r="H36" s="761">
        <f>'1.2.sz.mell. '!C36+'1.3.sz.mell.'!C36+'1.4.sz.mell. '!C36</f>
        <v>72301925</v>
      </c>
      <c r="I36" s="762">
        <f t="shared" si="0"/>
        <v>0</v>
      </c>
    </row>
    <row r="37" spans="1:9" s="318" customFormat="1" ht="12" customHeight="1" thickBot="1" x14ac:dyDescent="0.25">
      <c r="A37" s="13" t="s">
        <v>109</v>
      </c>
      <c r="B37" s="320" t="s">
        <v>291</v>
      </c>
      <c r="C37" s="233">
        <f t="shared" si="1"/>
        <v>103017000</v>
      </c>
      <c r="D37" s="411">
        <f>500000+300000+50000+1400000+947000+300000</f>
        <v>3497000</v>
      </c>
      <c r="E37" s="237">
        <v>300000</v>
      </c>
      <c r="F37" s="357">
        <v>99220000</v>
      </c>
      <c r="H37" s="761">
        <f>'1.2.sz.mell. '!C37+'1.3.sz.mell.'!C37+'1.4.sz.mell. '!C37</f>
        <v>103017000</v>
      </c>
      <c r="I37" s="762">
        <f t="shared" si="0"/>
        <v>0</v>
      </c>
    </row>
    <row r="38" spans="1:9" s="318" customFormat="1" ht="12" customHeight="1" thickBot="1" x14ac:dyDescent="0.25">
      <c r="A38" s="13" t="s">
        <v>182</v>
      </c>
      <c r="B38" s="320" t="s">
        <v>292</v>
      </c>
      <c r="C38" s="233">
        <f t="shared" si="1"/>
        <v>430000</v>
      </c>
      <c r="D38" s="411">
        <v>430000</v>
      </c>
      <c r="E38" s="237"/>
      <c r="F38" s="357"/>
      <c r="H38" s="761">
        <f>'1.2.sz.mell. '!C38+'1.3.sz.mell.'!C38+'1.4.sz.mell. '!C38</f>
        <v>430000</v>
      </c>
      <c r="I38" s="762">
        <f t="shared" si="0"/>
        <v>0</v>
      </c>
    </row>
    <row r="39" spans="1:9" s="318" customFormat="1" ht="12" customHeight="1" thickBot="1" x14ac:dyDescent="0.25">
      <c r="A39" s="13" t="s">
        <v>183</v>
      </c>
      <c r="B39" s="320" t="s">
        <v>293</v>
      </c>
      <c r="C39" s="233">
        <f t="shared" si="1"/>
        <v>179085653</v>
      </c>
      <c r="D39" s="411"/>
      <c r="E39" s="237"/>
      <c r="F39" s="357">
        <v>179085653</v>
      </c>
      <c r="H39" s="761">
        <f>'1.2.sz.mell. '!C39+'1.3.sz.mell.'!C39+'1.4.sz.mell. '!C39</f>
        <v>179085653</v>
      </c>
      <c r="I39" s="762">
        <f t="shared" si="0"/>
        <v>0</v>
      </c>
    </row>
    <row r="40" spans="1:9" s="318" customFormat="1" ht="12" customHeight="1" thickBot="1" x14ac:dyDescent="0.25">
      <c r="A40" s="13" t="s">
        <v>184</v>
      </c>
      <c r="B40" s="320" t="s">
        <v>294</v>
      </c>
      <c r="C40" s="233">
        <f t="shared" si="1"/>
        <v>44810289</v>
      </c>
      <c r="D40" s="411">
        <f>3283000+5162000+81000+13500+378000+81000</f>
        <v>8998500</v>
      </c>
      <c r="E40" s="237">
        <f>135000+324000+103000+1229000</f>
        <v>1791000</v>
      </c>
      <c r="F40" s="357">
        <v>34020789</v>
      </c>
      <c r="H40" s="761">
        <f>'1.2.sz.mell. '!C40+'1.3.sz.mell.'!C40+'1.4.sz.mell. '!C40</f>
        <v>44810289</v>
      </c>
      <c r="I40" s="762">
        <f t="shared" si="0"/>
        <v>0</v>
      </c>
    </row>
    <row r="41" spans="1:9" s="318" customFormat="1" ht="12" customHeight="1" thickBot="1" x14ac:dyDescent="0.25">
      <c r="A41" s="13" t="s">
        <v>185</v>
      </c>
      <c r="B41" s="320" t="s">
        <v>295</v>
      </c>
      <c r="C41" s="233">
        <f t="shared" si="1"/>
        <v>18210000</v>
      </c>
      <c r="D41" s="411"/>
      <c r="E41" s="237"/>
      <c r="F41" s="357">
        <v>18210000</v>
      </c>
      <c r="H41" s="761">
        <f>'1.2.sz.mell. '!C41+'1.3.sz.mell.'!C41+'1.4.sz.mell. '!C41</f>
        <v>18210000</v>
      </c>
      <c r="I41" s="762">
        <f t="shared" si="0"/>
        <v>0</v>
      </c>
    </row>
    <row r="42" spans="1:9" s="318" customFormat="1" ht="12" customHeight="1" thickBot="1" x14ac:dyDescent="0.25">
      <c r="A42" s="13" t="s">
        <v>186</v>
      </c>
      <c r="B42" s="320" t="s">
        <v>665</v>
      </c>
      <c r="C42" s="233">
        <f t="shared" si="1"/>
        <v>31000</v>
      </c>
      <c r="D42" s="411">
        <v>30000</v>
      </c>
      <c r="E42" s="237"/>
      <c r="F42" s="357">
        <v>1000</v>
      </c>
      <c r="H42" s="761">
        <f>'1.2.sz.mell. '!C42+'1.3.sz.mell.'!C42+'1.4.sz.mell. '!C42</f>
        <v>31000</v>
      </c>
      <c r="I42" s="762">
        <f t="shared" si="0"/>
        <v>0</v>
      </c>
    </row>
    <row r="43" spans="1:9" s="318" customFormat="1" ht="12" customHeight="1" thickBot="1" x14ac:dyDescent="0.25">
      <c r="A43" s="13" t="s">
        <v>287</v>
      </c>
      <c r="B43" s="320" t="s">
        <v>297</v>
      </c>
      <c r="C43" s="233">
        <f t="shared" si="1"/>
        <v>0</v>
      </c>
      <c r="D43" s="411"/>
      <c r="E43" s="237"/>
      <c r="F43" s="357"/>
      <c r="H43" s="761">
        <f>'1.2.sz.mell. '!C43+'1.3.sz.mell.'!C43+'1.4.sz.mell. '!C43</f>
        <v>0</v>
      </c>
      <c r="I43" s="762">
        <f t="shared" si="0"/>
        <v>0</v>
      </c>
    </row>
    <row r="44" spans="1:9" s="318" customFormat="1" ht="12" customHeight="1" thickBot="1" x14ac:dyDescent="0.25">
      <c r="A44" s="15" t="s">
        <v>288</v>
      </c>
      <c r="B44" s="321" t="s">
        <v>555</v>
      </c>
      <c r="C44" s="233">
        <f t="shared" si="1"/>
        <v>500000</v>
      </c>
      <c r="D44" s="415">
        <v>500000</v>
      </c>
      <c r="E44" s="308"/>
      <c r="F44" s="357"/>
      <c r="H44" s="761">
        <f>'1.2.sz.mell. '!C44+'1.3.sz.mell.'!C44+'1.4.sz.mell. '!C44</f>
        <v>500000</v>
      </c>
      <c r="I44" s="762">
        <f t="shared" si="0"/>
        <v>0</v>
      </c>
    </row>
    <row r="45" spans="1:9" s="318" customFormat="1" ht="12" customHeight="1" thickBot="1" x14ac:dyDescent="0.25">
      <c r="A45" s="15" t="s">
        <v>556</v>
      </c>
      <c r="B45" s="230" t="s">
        <v>298</v>
      </c>
      <c r="C45" s="233">
        <f t="shared" si="1"/>
        <v>760000</v>
      </c>
      <c r="D45" s="415">
        <f>60000+600000</f>
        <v>660000</v>
      </c>
      <c r="E45" s="308">
        <v>100000</v>
      </c>
      <c r="F45" s="357"/>
      <c r="H45" s="763">
        <f>'1.2.sz.mell. '!C45+'1.3.sz.mell.'!C45+'1.4.sz.mell. '!C45</f>
        <v>760000</v>
      </c>
      <c r="I45" s="764">
        <f t="shared" si="0"/>
        <v>0</v>
      </c>
    </row>
    <row r="46" spans="1:9" s="318" customFormat="1" ht="12" customHeight="1" thickBot="1" x14ac:dyDescent="0.25">
      <c r="A46" s="19" t="s">
        <v>36</v>
      </c>
      <c r="B46" s="20" t="s">
        <v>299</v>
      </c>
      <c r="C46" s="233">
        <f t="shared" si="1"/>
        <v>30332500</v>
      </c>
      <c r="D46" s="443">
        <f>SUM(D47:D51)</f>
        <v>30332500</v>
      </c>
      <c r="E46" s="233">
        <f>SUM(E47:E51)</f>
        <v>0</v>
      </c>
      <c r="F46" s="233">
        <f>SUM(F47:F51)</f>
        <v>0</v>
      </c>
      <c r="H46" s="758">
        <f>'1.2.sz.mell. '!C46+'1.3.sz.mell.'!C46+'1.4.sz.mell. '!C46</f>
        <v>30332500</v>
      </c>
      <c r="I46" s="758">
        <f t="shared" si="0"/>
        <v>0</v>
      </c>
    </row>
    <row r="47" spans="1:9" s="318" customFormat="1" ht="12" customHeight="1" thickBot="1" x14ac:dyDescent="0.25">
      <c r="A47" s="14" t="s">
        <v>110</v>
      </c>
      <c r="B47" s="319" t="s">
        <v>303</v>
      </c>
      <c r="C47" s="233">
        <f t="shared" si="1"/>
        <v>0</v>
      </c>
      <c r="D47" s="451"/>
      <c r="E47" s="357"/>
      <c r="F47" s="357"/>
      <c r="H47" s="759">
        <f>'1.2.sz.mell. '!C47+'1.3.sz.mell.'!C47+'1.4.sz.mell. '!C47</f>
        <v>0</v>
      </c>
      <c r="I47" s="760">
        <f t="shared" si="0"/>
        <v>0</v>
      </c>
    </row>
    <row r="48" spans="1:9" s="318" customFormat="1" ht="12" customHeight="1" thickBot="1" x14ac:dyDescent="0.25">
      <c r="A48" s="13" t="s">
        <v>111</v>
      </c>
      <c r="B48" s="320" t="s">
        <v>304</v>
      </c>
      <c r="C48" s="233">
        <f t="shared" si="1"/>
        <v>30332500</v>
      </c>
      <c r="D48" s="411">
        <v>30332500</v>
      </c>
      <c r="E48" s="237"/>
      <c r="F48" s="237"/>
      <c r="H48" s="761">
        <f>'1.2.sz.mell. '!C48+'1.3.sz.mell.'!C48+'1.4.sz.mell. '!C48</f>
        <v>30332500</v>
      </c>
      <c r="I48" s="762">
        <f t="shared" si="0"/>
        <v>0</v>
      </c>
    </row>
    <row r="49" spans="1:9" s="318" customFormat="1" ht="12" customHeight="1" thickBot="1" x14ac:dyDescent="0.25">
      <c r="A49" s="13" t="s">
        <v>300</v>
      </c>
      <c r="B49" s="320" t="s">
        <v>305</v>
      </c>
      <c r="C49" s="233">
        <f t="shared" si="1"/>
        <v>0</v>
      </c>
      <c r="D49" s="411"/>
      <c r="E49" s="237"/>
      <c r="F49" s="237"/>
      <c r="H49" s="761">
        <f>'1.2.sz.mell. '!C49+'1.3.sz.mell.'!C49+'1.4.sz.mell. '!C49</f>
        <v>0</v>
      </c>
      <c r="I49" s="762">
        <f t="shared" si="0"/>
        <v>0</v>
      </c>
    </row>
    <row r="50" spans="1:9" s="318" customFormat="1" ht="12" customHeight="1" thickBot="1" x14ac:dyDescent="0.25">
      <c r="A50" s="13" t="s">
        <v>301</v>
      </c>
      <c r="B50" s="320" t="s">
        <v>306</v>
      </c>
      <c r="C50" s="233">
        <f t="shared" si="1"/>
        <v>0</v>
      </c>
      <c r="D50" s="411"/>
      <c r="E50" s="237"/>
      <c r="F50" s="237"/>
      <c r="H50" s="761">
        <f>'1.2.sz.mell. '!C50+'1.3.sz.mell.'!C50+'1.4.sz.mell. '!C50</f>
        <v>0</v>
      </c>
      <c r="I50" s="762">
        <f t="shared" si="0"/>
        <v>0</v>
      </c>
    </row>
    <row r="51" spans="1:9" s="318" customFormat="1" ht="12" customHeight="1" thickBot="1" x14ac:dyDescent="0.25">
      <c r="A51" s="15" t="s">
        <v>302</v>
      </c>
      <c r="B51" s="230" t="s">
        <v>307</v>
      </c>
      <c r="C51" s="233">
        <f t="shared" si="1"/>
        <v>0</v>
      </c>
      <c r="D51" s="415"/>
      <c r="E51" s="308"/>
      <c r="F51" s="308"/>
      <c r="H51" s="763">
        <f>'1.2.sz.mell. '!C51+'1.3.sz.mell.'!C51+'1.4.sz.mell. '!C51</f>
        <v>0</v>
      </c>
      <c r="I51" s="764">
        <f t="shared" si="0"/>
        <v>0</v>
      </c>
    </row>
    <row r="52" spans="1:9" s="318" customFormat="1" ht="12" customHeight="1" thickBot="1" x14ac:dyDescent="0.25">
      <c r="A52" s="19" t="s">
        <v>187</v>
      </c>
      <c r="B52" s="20" t="s">
        <v>308</v>
      </c>
      <c r="C52" s="233">
        <f t="shared" si="1"/>
        <v>4766000</v>
      </c>
      <c r="D52" s="443">
        <f>SUM(D53:D55)</f>
        <v>4766000</v>
      </c>
      <c r="E52" s="233">
        <f>SUM(E53:E55)</f>
        <v>0</v>
      </c>
      <c r="F52" s="233">
        <f>SUM(F53:F55)</f>
        <v>0</v>
      </c>
      <c r="H52" s="758">
        <f>'1.2.sz.mell. '!C52+'1.3.sz.mell.'!C52+'1.4.sz.mell. '!C52</f>
        <v>4766000</v>
      </c>
      <c r="I52" s="758">
        <f t="shared" si="0"/>
        <v>0</v>
      </c>
    </row>
    <row r="53" spans="1:9" s="318" customFormat="1" ht="12" customHeight="1" thickBot="1" x14ac:dyDescent="0.25">
      <c r="A53" s="14" t="s">
        <v>112</v>
      </c>
      <c r="B53" s="319" t="s">
        <v>309</v>
      </c>
      <c r="C53" s="233">
        <f t="shared" si="1"/>
        <v>0</v>
      </c>
      <c r="D53" s="446"/>
      <c r="E53" s="235"/>
      <c r="F53" s="235"/>
      <c r="H53" s="759">
        <f>'1.2.sz.mell. '!C53+'1.3.sz.mell.'!C53+'1.4.sz.mell. '!C53</f>
        <v>0</v>
      </c>
      <c r="I53" s="760">
        <f t="shared" si="0"/>
        <v>0</v>
      </c>
    </row>
    <row r="54" spans="1:9" s="318" customFormat="1" ht="12" customHeight="1" thickBot="1" x14ac:dyDescent="0.25">
      <c r="A54" s="13" t="s">
        <v>113</v>
      </c>
      <c r="B54" s="320" t="s">
        <v>440</v>
      </c>
      <c r="C54" s="233">
        <f t="shared" si="1"/>
        <v>1866000</v>
      </c>
      <c r="D54" s="411">
        <f>1566000+300000</f>
        <v>1866000</v>
      </c>
      <c r="E54" s="237"/>
      <c r="F54" s="237"/>
      <c r="H54" s="761">
        <f>'1.2.sz.mell. '!C54+'1.3.sz.mell.'!C54+'1.4.sz.mell. '!C54</f>
        <v>1866000</v>
      </c>
      <c r="I54" s="762">
        <f t="shared" si="0"/>
        <v>0</v>
      </c>
    </row>
    <row r="55" spans="1:9" s="318" customFormat="1" ht="12" customHeight="1" thickBot="1" x14ac:dyDescent="0.25">
      <c r="A55" s="13" t="s">
        <v>312</v>
      </c>
      <c r="B55" s="320" t="s">
        <v>310</v>
      </c>
      <c r="C55" s="233">
        <f t="shared" si="1"/>
        <v>2900000</v>
      </c>
      <c r="D55" s="411">
        <v>2900000</v>
      </c>
      <c r="E55" s="237"/>
      <c r="F55" s="237"/>
      <c r="H55" s="761">
        <f>'1.2.sz.mell. '!C55+'1.3.sz.mell.'!C55+'1.4.sz.mell. '!C55</f>
        <v>2900000</v>
      </c>
      <c r="I55" s="762">
        <f t="shared" si="0"/>
        <v>0</v>
      </c>
    </row>
    <row r="56" spans="1:9" s="318" customFormat="1" ht="12" customHeight="1" thickBot="1" x14ac:dyDescent="0.25">
      <c r="A56" s="15" t="s">
        <v>313</v>
      </c>
      <c r="B56" s="230" t="s">
        <v>311</v>
      </c>
      <c r="C56" s="233">
        <f t="shared" si="1"/>
        <v>0</v>
      </c>
      <c r="D56" s="218"/>
      <c r="E56" s="236"/>
      <c r="F56" s="236"/>
      <c r="H56" s="763">
        <f>'1.2.sz.mell. '!C56+'1.3.sz.mell.'!C56+'1.4.sz.mell. '!C56</f>
        <v>0</v>
      </c>
      <c r="I56" s="764">
        <f t="shared" si="0"/>
        <v>0</v>
      </c>
    </row>
    <row r="57" spans="1:9" s="318" customFormat="1" ht="12" customHeight="1" thickBot="1" x14ac:dyDescent="0.25">
      <c r="A57" s="19" t="s">
        <v>38</v>
      </c>
      <c r="B57" s="228" t="s">
        <v>314</v>
      </c>
      <c r="C57" s="233">
        <f t="shared" si="1"/>
        <v>0</v>
      </c>
      <c r="D57" s="443">
        <f>SUM(D58:D60)</f>
        <v>0</v>
      </c>
      <c r="E57" s="233">
        <f>SUM(E58:E60)</f>
        <v>0</v>
      </c>
      <c r="F57" s="233">
        <f>SUM(F58:F60)</f>
        <v>0</v>
      </c>
      <c r="H57" s="758">
        <f>'1.2.sz.mell. '!C57+'1.3.sz.mell.'!C57+'1.4.sz.mell. '!C57</f>
        <v>0</v>
      </c>
      <c r="I57" s="758">
        <f t="shared" si="0"/>
        <v>0</v>
      </c>
    </row>
    <row r="58" spans="1:9" s="318" customFormat="1" ht="12" customHeight="1" thickBot="1" x14ac:dyDescent="0.25">
      <c r="A58" s="14" t="s">
        <v>188</v>
      </c>
      <c r="B58" s="319" t="s">
        <v>316</v>
      </c>
      <c r="C58" s="233">
        <f t="shared" si="1"/>
        <v>0</v>
      </c>
      <c r="D58" s="411"/>
      <c r="E58" s="237"/>
      <c r="F58" s="237"/>
      <c r="H58" s="759">
        <f>'1.2.sz.mell. '!C58+'1.3.sz.mell.'!C58+'1.4.sz.mell. '!C58</f>
        <v>0</v>
      </c>
      <c r="I58" s="760">
        <f t="shared" si="0"/>
        <v>0</v>
      </c>
    </row>
    <row r="59" spans="1:9" s="318" customFormat="1" ht="12" customHeight="1" thickBot="1" x14ac:dyDescent="0.25">
      <c r="A59" s="13" t="s">
        <v>189</v>
      </c>
      <c r="B59" s="320" t="s">
        <v>441</v>
      </c>
      <c r="C59" s="233">
        <f t="shared" si="1"/>
        <v>0</v>
      </c>
      <c r="D59" s="411"/>
      <c r="E59" s="237"/>
      <c r="F59" s="237"/>
      <c r="H59" s="761">
        <f>'1.2.sz.mell. '!C59+'1.3.sz.mell.'!C59+'1.4.sz.mell. '!C59</f>
        <v>0</v>
      </c>
      <c r="I59" s="762">
        <f t="shared" si="0"/>
        <v>0</v>
      </c>
    </row>
    <row r="60" spans="1:9" s="318" customFormat="1" ht="12" customHeight="1" thickBot="1" x14ac:dyDescent="0.25">
      <c r="A60" s="13" t="s">
        <v>237</v>
      </c>
      <c r="B60" s="320" t="s">
        <v>317</v>
      </c>
      <c r="C60" s="233">
        <f t="shared" si="1"/>
        <v>0</v>
      </c>
      <c r="D60" s="411"/>
      <c r="E60" s="237"/>
      <c r="F60" s="237"/>
      <c r="H60" s="761">
        <f>'1.2.sz.mell. '!C60+'1.3.sz.mell.'!C60+'1.4.sz.mell. '!C60</f>
        <v>0</v>
      </c>
      <c r="I60" s="762">
        <f t="shared" si="0"/>
        <v>0</v>
      </c>
    </row>
    <row r="61" spans="1:9" s="318" customFormat="1" ht="12" customHeight="1" thickBot="1" x14ac:dyDescent="0.25">
      <c r="A61" s="15" t="s">
        <v>315</v>
      </c>
      <c r="B61" s="230" t="s">
        <v>318</v>
      </c>
      <c r="C61" s="233">
        <f t="shared" si="1"/>
        <v>0</v>
      </c>
      <c r="D61" s="411"/>
      <c r="E61" s="237"/>
      <c r="F61" s="237"/>
      <c r="H61" s="763">
        <f>'1.2.sz.mell. '!C61+'1.3.sz.mell.'!C61+'1.4.sz.mell. '!C61</f>
        <v>0</v>
      </c>
      <c r="I61" s="764">
        <f t="shared" si="0"/>
        <v>0</v>
      </c>
    </row>
    <row r="62" spans="1:9" s="318" customFormat="1" ht="12" customHeight="1" thickBot="1" x14ac:dyDescent="0.25">
      <c r="A62" s="392" t="s">
        <v>557</v>
      </c>
      <c r="B62" s="20" t="s">
        <v>319</v>
      </c>
      <c r="C62" s="233">
        <f t="shared" si="1"/>
        <v>2331070988</v>
      </c>
      <c r="D62" s="448">
        <f>+D5+D12+D19+D26+D34+D46+D52+D57</f>
        <v>1917422018</v>
      </c>
      <c r="E62" s="238">
        <f>+E5+E12+E19+E26+E34+E46+E52+E57</f>
        <v>11515677</v>
      </c>
      <c r="F62" s="238">
        <f>+F5+F12+F19+F26+F34+F46+F52+F57</f>
        <v>402133293</v>
      </c>
      <c r="H62" s="758">
        <f>'1.2.sz.mell. '!C62+'1.3.sz.mell.'!C62+'1.4.sz.mell. '!C62</f>
        <v>2331070988</v>
      </c>
      <c r="I62" s="758">
        <f t="shared" si="0"/>
        <v>0</v>
      </c>
    </row>
    <row r="63" spans="1:9" s="318" customFormat="1" ht="12" customHeight="1" thickBot="1" x14ac:dyDescent="0.25">
      <c r="A63" s="393" t="s">
        <v>320</v>
      </c>
      <c r="B63" s="228" t="s">
        <v>321</v>
      </c>
      <c r="C63" s="233">
        <f t="shared" si="1"/>
        <v>193478462</v>
      </c>
      <c r="D63" s="443">
        <f>SUM(D64:D66)</f>
        <v>193478462</v>
      </c>
      <c r="E63" s="233">
        <f>SUM(E64:E66)</f>
        <v>0</v>
      </c>
      <c r="F63" s="233">
        <f>SUM(F64:F66)</f>
        <v>0</v>
      </c>
      <c r="H63" s="758">
        <f>'1.2.sz.mell. '!C63+'1.3.sz.mell.'!C63+'1.4.sz.mell. '!C63</f>
        <v>193478462</v>
      </c>
      <c r="I63" s="758">
        <f t="shared" si="0"/>
        <v>0</v>
      </c>
    </row>
    <row r="64" spans="1:9" s="318" customFormat="1" ht="12" customHeight="1" thickBot="1" x14ac:dyDescent="0.25">
      <c r="A64" s="14" t="s">
        <v>352</v>
      </c>
      <c r="B64" s="319" t="s">
        <v>322</v>
      </c>
      <c r="C64" s="233">
        <f t="shared" si="1"/>
        <v>93478462</v>
      </c>
      <c r="D64" s="411">
        <v>93478462</v>
      </c>
      <c r="E64" s="237"/>
      <c r="F64" s="237"/>
      <c r="H64" s="759">
        <f>'1.2.sz.mell. '!C64+'1.3.sz.mell.'!C64+'1.4.sz.mell. '!C64</f>
        <v>93478462</v>
      </c>
      <c r="I64" s="760">
        <f t="shared" si="0"/>
        <v>0</v>
      </c>
    </row>
    <row r="65" spans="1:9" s="318" customFormat="1" ht="12" customHeight="1" thickBot="1" x14ac:dyDescent="0.25">
      <c r="A65" s="13" t="s">
        <v>361</v>
      </c>
      <c r="B65" s="320" t="s">
        <v>323</v>
      </c>
      <c r="C65" s="233">
        <f t="shared" si="1"/>
        <v>100000000</v>
      </c>
      <c r="D65" s="411">
        <v>100000000</v>
      </c>
      <c r="E65" s="237"/>
      <c r="F65" s="237"/>
      <c r="H65" s="761">
        <f>'1.2.sz.mell. '!C65+'1.3.sz.mell.'!C65+'1.4.sz.mell. '!C65</f>
        <v>100000000</v>
      </c>
      <c r="I65" s="762">
        <f t="shared" si="0"/>
        <v>0</v>
      </c>
    </row>
    <row r="66" spans="1:9" s="318" customFormat="1" ht="12" customHeight="1" thickBot="1" x14ac:dyDescent="0.25">
      <c r="A66" s="15" t="s">
        <v>362</v>
      </c>
      <c r="B66" s="394" t="s">
        <v>558</v>
      </c>
      <c r="C66" s="233">
        <f t="shared" si="1"/>
        <v>0</v>
      </c>
      <c r="D66" s="411"/>
      <c r="E66" s="237"/>
      <c r="F66" s="237"/>
      <c r="H66" s="763">
        <f>'1.2.sz.mell. '!C66+'1.3.sz.mell.'!C66+'1.4.sz.mell. '!C66</f>
        <v>0</v>
      </c>
      <c r="I66" s="764">
        <f t="shared" si="0"/>
        <v>0</v>
      </c>
    </row>
    <row r="67" spans="1:9" s="318" customFormat="1" ht="12" customHeight="1" thickBot="1" x14ac:dyDescent="0.25">
      <c r="A67" s="393" t="s">
        <v>325</v>
      </c>
      <c r="B67" s="228" t="s">
        <v>326</v>
      </c>
      <c r="C67" s="233">
        <f t="shared" si="1"/>
        <v>0</v>
      </c>
      <c r="D67" s="443">
        <f>SUM(D68:D71)</f>
        <v>0</v>
      </c>
      <c r="E67" s="233">
        <f>SUM(E68:E71)</f>
        <v>0</v>
      </c>
      <c r="F67" s="233">
        <f>SUM(F68:F71)</f>
        <v>0</v>
      </c>
      <c r="H67" s="758">
        <f>'1.2.sz.mell. '!C67+'1.3.sz.mell.'!C67+'1.4.sz.mell. '!C67</f>
        <v>0</v>
      </c>
      <c r="I67" s="758">
        <f t="shared" si="0"/>
        <v>0</v>
      </c>
    </row>
    <row r="68" spans="1:9" s="318" customFormat="1" ht="12" customHeight="1" thickBot="1" x14ac:dyDescent="0.25">
      <c r="A68" s="14" t="s">
        <v>159</v>
      </c>
      <c r="B68" s="319" t="s">
        <v>327</v>
      </c>
      <c r="C68" s="233">
        <f t="shared" si="1"/>
        <v>0</v>
      </c>
      <c r="D68" s="411"/>
      <c r="E68" s="237"/>
      <c r="F68" s="237"/>
      <c r="H68" s="759">
        <f>'1.2.sz.mell. '!C68+'1.3.sz.mell.'!C68+'1.4.sz.mell. '!C68</f>
        <v>0</v>
      </c>
      <c r="I68" s="760">
        <f t="shared" si="0"/>
        <v>0</v>
      </c>
    </row>
    <row r="69" spans="1:9" s="318" customFormat="1" ht="12" customHeight="1" thickBot="1" x14ac:dyDescent="0.25">
      <c r="A69" s="13" t="s">
        <v>160</v>
      </c>
      <c r="B69" s="320" t="s">
        <v>328</v>
      </c>
      <c r="C69" s="233">
        <f t="shared" si="1"/>
        <v>0</v>
      </c>
      <c r="D69" s="411"/>
      <c r="E69" s="237"/>
      <c r="F69" s="237"/>
      <c r="H69" s="761">
        <f>'1.2.sz.mell. '!C69+'1.3.sz.mell.'!C69+'1.4.sz.mell. '!C69</f>
        <v>0</v>
      </c>
      <c r="I69" s="762">
        <f t="shared" ref="I69:I87" si="2">C69-H69</f>
        <v>0</v>
      </c>
    </row>
    <row r="70" spans="1:9" s="318" customFormat="1" ht="12" customHeight="1" thickBot="1" x14ac:dyDescent="0.25">
      <c r="A70" s="13" t="s">
        <v>353</v>
      </c>
      <c r="B70" s="320" t="s">
        <v>329</v>
      </c>
      <c r="C70" s="233">
        <f t="shared" ref="C70:C87" si="3">SUM(D70:F70)</f>
        <v>0</v>
      </c>
      <c r="D70" s="411"/>
      <c r="E70" s="237"/>
      <c r="F70" s="237"/>
      <c r="H70" s="761">
        <f>'1.2.sz.mell. '!C70+'1.3.sz.mell.'!C70+'1.4.sz.mell. '!C70</f>
        <v>0</v>
      </c>
      <c r="I70" s="762">
        <f t="shared" si="2"/>
        <v>0</v>
      </c>
    </row>
    <row r="71" spans="1:9" s="318" customFormat="1" ht="12" customHeight="1" thickBot="1" x14ac:dyDescent="0.25">
      <c r="A71" s="15" t="s">
        <v>354</v>
      </c>
      <c r="B71" s="230" t="s">
        <v>330</v>
      </c>
      <c r="C71" s="233">
        <f t="shared" si="3"/>
        <v>0</v>
      </c>
      <c r="D71" s="411"/>
      <c r="E71" s="237"/>
      <c r="F71" s="237"/>
      <c r="H71" s="763">
        <f>'1.2.sz.mell. '!C71+'1.3.sz.mell.'!C71+'1.4.sz.mell. '!C71</f>
        <v>0</v>
      </c>
      <c r="I71" s="764">
        <f t="shared" si="2"/>
        <v>0</v>
      </c>
    </row>
    <row r="72" spans="1:9" s="318" customFormat="1" ht="12" customHeight="1" thickBot="1" x14ac:dyDescent="0.25">
      <c r="A72" s="393" t="s">
        <v>331</v>
      </c>
      <c r="B72" s="228" t="s">
        <v>332</v>
      </c>
      <c r="C72" s="233">
        <f t="shared" si="3"/>
        <v>595229853</v>
      </c>
      <c r="D72" s="443">
        <f>SUM(D73:D74)</f>
        <v>569119704</v>
      </c>
      <c r="E72" s="233">
        <f>SUM(E73:E74)</f>
        <v>3148853</v>
      </c>
      <c r="F72" s="233">
        <f>SUM(F73:F74)</f>
        <v>22961296</v>
      </c>
      <c r="H72" s="758">
        <f>'1.2.sz.mell. '!C72+'1.3.sz.mell.'!C72+'1.4.sz.mell. '!C72</f>
        <v>595229853</v>
      </c>
      <c r="I72" s="758">
        <f t="shared" si="2"/>
        <v>0</v>
      </c>
    </row>
    <row r="73" spans="1:9" s="318" customFormat="1" ht="12" customHeight="1" thickBot="1" x14ac:dyDescent="0.25">
      <c r="A73" s="14" t="s">
        <v>355</v>
      </c>
      <c r="B73" s="319" t="s">
        <v>333</v>
      </c>
      <c r="C73" s="233">
        <f t="shared" si="3"/>
        <v>595229853</v>
      </c>
      <c r="D73" s="411">
        <v>569119704</v>
      </c>
      <c r="E73" s="237">
        <v>3148853</v>
      </c>
      <c r="F73" s="237">
        <v>22961296</v>
      </c>
      <c r="H73" s="759">
        <f>'1.2.sz.mell. '!C73+'1.3.sz.mell.'!C73+'1.4.sz.mell. '!C73</f>
        <v>595229853</v>
      </c>
      <c r="I73" s="760">
        <f t="shared" si="2"/>
        <v>0</v>
      </c>
    </row>
    <row r="74" spans="1:9" s="318" customFormat="1" ht="12" customHeight="1" thickBot="1" x14ac:dyDescent="0.25">
      <c r="A74" s="15" t="s">
        <v>356</v>
      </c>
      <c r="B74" s="230" t="s">
        <v>334</v>
      </c>
      <c r="C74" s="233">
        <f t="shared" si="3"/>
        <v>0</v>
      </c>
      <c r="D74" s="411"/>
      <c r="E74" s="237"/>
      <c r="F74" s="237"/>
      <c r="H74" s="763">
        <f>'1.2.sz.mell. '!C74+'1.3.sz.mell.'!C74+'1.4.sz.mell. '!C74</f>
        <v>0</v>
      </c>
      <c r="I74" s="764">
        <f t="shared" si="2"/>
        <v>0</v>
      </c>
    </row>
    <row r="75" spans="1:9" s="318" customFormat="1" ht="12" customHeight="1" thickBot="1" x14ac:dyDescent="0.25">
      <c r="A75" s="393" t="s">
        <v>335</v>
      </c>
      <c r="B75" s="228" t="s">
        <v>336</v>
      </c>
      <c r="C75" s="233">
        <f t="shared" si="3"/>
        <v>0</v>
      </c>
      <c r="D75" s="443">
        <f>SUM(D76:D78)</f>
        <v>0</v>
      </c>
      <c r="E75" s="233">
        <f>SUM(E76:E78)</f>
        <v>0</v>
      </c>
      <c r="F75" s="233">
        <f>SUM(F76:F78)</f>
        <v>0</v>
      </c>
      <c r="H75" s="758">
        <f>'1.2.sz.mell. '!C75+'1.3.sz.mell.'!C75+'1.4.sz.mell. '!C75</f>
        <v>0</v>
      </c>
      <c r="I75" s="758">
        <f t="shared" si="2"/>
        <v>0</v>
      </c>
    </row>
    <row r="76" spans="1:9" s="318" customFormat="1" ht="12" customHeight="1" thickBot="1" x14ac:dyDescent="0.25">
      <c r="A76" s="14" t="s">
        <v>357</v>
      </c>
      <c r="B76" s="319" t="s">
        <v>337</v>
      </c>
      <c r="C76" s="233">
        <f t="shared" si="3"/>
        <v>0</v>
      </c>
      <c r="D76" s="411"/>
      <c r="E76" s="237"/>
      <c r="F76" s="237"/>
      <c r="H76" s="759">
        <f>'1.2.sz.mell. '!C76+'1.3.sz.mell.'!C76+'1.4.sz.mell. '!C76</f>
        <v>0</v>
      </c>
      <c r="I76" s="760">
        <f t="shared" si="2"/>
        <v>0</v>
      </c>
    </row>
    <row r="77" spans="1:9" s="318" customFormat="1" ht="12" customHeight="1" thickBot="1" x14ac:dyDescent="0.25">
      <c r="A77" s="13" t="s">
        <v>358</v>
      </c>
      <c r="B77" s="320" t="s">
        <v>338</v>
      </c>
      <c r="C77" s="233">
        <f t="shared" si="3"/>
        <v>0</v>
      </c>
      <c r="D77" s="411"/>
      <c r="E77" s="237"/>
      <c r="F77" s="237"/>
      <c r="H77" s="761">
        <f>'1.2.sz.mell. '!C77+'1.3.sz.mell.'!C77+'1.4.sz.mell. '!C77</f>
        <v>0</v>
      </c>
      <c r="I77" s="762">
        <f t="shared" si="2"/>
        <v>0</v>
      </c>
    </row>
    <row r="78" spans="1:9" s="318" customFormat="1" ht="12" customHeight="1" thickBot="1" x14ac:dyDescent="0.25">
      <c r="A78" s="15" t="s">
        <v>359</v>
      </c>
      <c r="B78" s="230" t="s">
        <v>339</v>
      </c>
      <c r="C78" s="233">
        <f t="shared" si="3"/>
        <v>0</v>
      </c>
      <c r="D78" s="411"/>
      <c r="E78" s="237"/>
      <c r="F78" s="237"/>
      <c r="H78" s="763">
        <f>'1.2.sz.mell. '!C78+'1.3.sz.mell.'!C78+'1.4.sz.mell. '!C78</f>
        <v>0</v>
      </c>
      <c r="I78" s="764">
        <f t="shared" si="2"/>
        <v>0</v>
      </c>
    </row>
    <row r="79" spans="1:9" s="318" customFormat="1" ht="12" customHeight="1" thickBot="1" x14ac:dyDescent="0.25">
      <c r="A79" s="393" t="s">
        <v>340</v>
      </c>
      <c r="B79" s="228" t="s">
        <v>360</v>
      </c>
      <c r="C79" s="233">
        <f t="shared" si="3"/>
        <v>0</v>
      </c>
      <c r="D79" s="443">
        <f>SUM(D80:D83)</f>
        <v>0</v>
      </c>
      <c r="E79" s="233">
        <f>SUM(E80:E83)</f>
        <v>0</v>
      </c>
      <c r="F79" s="233">
        <f>SUM(F80:F83)</f>
        <v>0</v>
      </c>
      <c r="H79" s="758">
        <f>'1.2.sz.mell. '!C79+'1.3.sz.mell.'!C79+'1.4.sz.mell. '!C79</f>
        <v>0</v>
      </c>
      <c r="I79" s="758">
        <f t="shared" si="2"/>
        <v>0</v>
      </c>
    </row>
    <row r="80" spans="1:9" s="318" customFormat="1" ht="12" customHeight="1" thickBot="1" x14ac:dyDescent="0.25">
      <c r="A80" s="323" t="s">
        <v>341</v>
      </c>
      <c r="B80" s="319" t="s">
        <v>342</v>
      </c>
      <c r="C80" s="233">
        <f t="shared" si="3"/>
        <v>0</v>
      </c>
      <c r="D80" s="411"/>
      <c r="E80" s="237"/>
      <c r="F80" s="237"/>
      <c r="H80" s="759">
        <f>'1.2.sz.mell. '!C80+'1.3.sz.mell.'!C80+'1.4.sz.mell. '!C80</f>
        <v>0</v>
      </c>
      <c r="I80" s="760">
        <f t="shared" si="2"/>
        <v>0</v>
      </c>
    </row>
    <row r="81" spans="1:9" s="318" customFormat="1" ht="12" customHeight="1" thickBot="1" x14ac:dyDescent="0.25">
      <c r="A81" s="324" t="s">
        <v>343</v>
      </c>
      <c r="B81" s="320" t="s">
        <v>344</v>
      </c>
      <c r="C81" s="233">
        <f t="shared" si="3"/>
        <v>0</v>
      </c>
      <c r="D81" s="411"/>
      <c r="E81" s="237"/>
      <c r="F81" s="237"/>
      <c r="H81" s="761">
        <f>'1.2.sz.mell. '!C81+'1.3.sz.mell.'!C81+'1.4.sz.mell. '!C81</f>
        <v>0</v>
      </c>
      <c r="I81" s="762">
        <f t="shared" si="2"/>
        <v>0</v>
      </c>
    </row>
    <row r="82" spans="1:9" s="318" customFormat="1" ht="12" customHeight="1" thickBot="1" x14ac:dyDescent="0.25">
      <c r="A82" s="324" t="s">
        <v>345</v>
      </c>
      <c r="B82" s="320" t="s">
        <v>346</v>
      </c>
      <c r="C82" s="233">
        <f t="shared" si="3"/>
        <v>0</v>
      </c>
      <c r="D82" s="411"/>
      <c r="E82" s="237"/>
      <c r="F82" s="237"/>
      <c r="H82" s="761">
        <f>'1.2.sz.mell. '!C82+'1.3.sz.mell.'!C82+'1.4.sz.mell. '!C82</f>
        <v>0</v>
      </c>
      <c r="I82" s="762">
        <f t="shared" si="2"/>
        <v>0</v>
      </c>
    </row>
    <row r="83" spans="1:9" s="318" customFormat="1" ht="12" customHeight="1" thickBot="1" x14ac:dyDescent="0.25">
      <c r="A83" s="325" t="s">
        <v>347</v>
      </c>
      <c r="B83" s="230" t="s">
        <v>348</v>
      </c>
      <c r="C83" s="233">
        <f t="shared" si="3"/>
        <v>0</v>
      </c>
      <c r="D83" s="411"/>
      <c r="E83" s="237"/>
      <c r="F83" s="237"/>
      <c r="H83" s="763">
        <f>'1.2.sz.mell. '!C83+'1.3.sz.mell.'!C83+'1.4.sz.mell. '!C83</f>
        <v>0</v>
      </c>
      <c r="I83" s="764">
        <f t="shared" si="2"/>
        <v>0</v>
      </c>
    </row>
    <row r="84" spans="1:9" s="318" customFormat="1" ht="12" customHeight="1" thickBot="1" x14ac:dyDescent="0.25">
      <c r="A84" s="393" t="s">
        <v>349</v>
      </c>
      <c r="B84" s="228" t="s">
        <v>559</v>
      </c>
      <c r="C84" s="233">
        <f t="shared" si="3"/>
        <v>0</v>
      </c>
      <c r="D84" s="453"/>
      <c r="E84" s="358"/>
      <c r="F84" s="358"/>
      <c r="H84" s="758">
        <f>'1.2.sz.mell. '!C84+'1.3.sz.mell.'!C84+'1.4.sz.mell. '!C84</f>
        <v>0</v>
      </c>
      <c r="I84" s="758">
        <f t="shared" si="2"/>
        <v>0</v>
      </c>
    </row>
    <row r="85" spans="1:9" s="318" customFormat="1" ht="13.5" customHeight="1" thickBot="1" x14ac:dyDescent="0.25">
      <c r="A85" s="393" t="s">
        <v>351</v>
      </c>
      <c r="B85" s="228" t="s">
        <v>350</v>
      </c>
      <c r="C85" s="233">
        <f t="shared" si="3"/>
        <v>0</v>
      </c>
      <c r="D85" s="453"/>
      <c r="E85" s="358"/>
      <c r="F85" s="358"/>
      <c r="H85" s="758">
        <f>'1.2.sz.mell. '!C85+'1.3.sz.mell.'!C85+'1.4.sz.mell. '!C85</f>
        <v>0</v>
      </c>
      <c r="I85" s="758">
        <f t="shared" si="2"/>
        <v>0</v>
      </c>
    </row>
    <row r="86" spans="1:9" s="318" customFormat="1" ht="15.75" customHeight="1" thickBot="1" x14ac:dyDescent="0.25">
      <c r="A86" s="393" t="s">
        <v>363</v>
      </c>
      <c r="B86" s="326" t="s">
        <v>560</v>
      </c>
      <c r="C86" s="233">
        <f t="shared" si="3"/>
        <v>788708315</v>
      </c>
      <c r="D86" s="448">
        <f>+D63+D67+D72+D75+D79+D85+D84</f>
        <v>762598166</v>
      </c>
      <c r="E86" s="238">
        <f>+E63+E67+E72+E75+E79+E85+E84</f>
        <v>3148853</v>
      </c>
      <c r="F86" s="238">
        <f>+F63+F67+F72+F75+F79+F85+F84</f>
        <v>22961296</v>
      </c>
      <c r="H86" s="758">
        <f>'1.2.sz.mell. '!C86+'1.3.sz.mell.'!C86+'1.4.sz.mell. '!C86</f>
        <v>788708315</v>
      </c>
      <c r="I86" s="758">
        <f t="shared" si="2"/>
        <v>0</v>
      </c>
    </row>
    <row r="87" spans="1:9" s="318" customFormat="1" ht="16.5" customHeight="1" thickBot="1" x14ac:dyDescent="0.25">
      <c r="A87" s="395" t="s">
        <v>561</v>
      </c>
      <c r="B87" s="327" t="s">
        <v>562</v>
      </c>
      <c r="C87" s="233">
        <f t="shared" si="3"/>
        <v>3119779303</v>
      </c>
      <c r="D87" s="448">
        <f>+D62+D86</f>
        <v>2680020184</v>
      </c>
      <c r="E87" s="238">
        <f>+E62+E86</f>
        <v>14664530</v>
      </c>
      <c r="F87" s="238">
        <f>+F62+F86</f>
        <v>425094589</v>
      </c>
      <c r="H87" s="758">
        <f>'1.2.sz.mell. '!C87+'1.3.sz.mell.'!C87+'1.4.sz.mell. '!C87</f>
        <v>3119779303</v>
      </c>
      <c r="I87" s="758">
        <f t="shared" si="2"/>
        <v>0</v>
      </c>
    </row>
    <row r="88" spans="1:9" s="318" customFormat="1" ht="83.25" customHeight="1" x14ac:dyDescent="0.2">
      <c r="A88" s="4"/>
      <c r="B88" s="5"/>
      <c r="C88" s="239"/>
      <c r="H88" s="756"/>
      <c r="I88" s="756"/>
    </row>
    <row r="89" spans="1:9" ht="16.5" customHeight="1" x14ac:dyDescent="0.25">
      <c r="A89" s="1171" t="s">
        <v>60</v>
      </c>
      <c r="B89" s="1171"/>
      <c r="C89" s="1171"/>
      <c r="I89" s="756"/>
    </row>
    <row r="90" spans="1:9" s="328" customFormat="1" ht="16.5" customHeight="1" thickBot="1" x14ac:dyDescent="0.3">
      <c r="A90" s="1172" t="s">
        <v>162</v>
      </c>
      <c r="B90" s="1172"/>
      <c r="C90" s="104" t="s">
        <v>688</v>
      </c>
      <c r="H90" s="756"/>
      <c r="I90" s="756"/>
    </row>
    <row r="91" spans="1:9" ht="38.1" customHeight="1" thickBot="1" x14ac:dyDescent="0.3">
      <c r="A91" s="22" t="s">
        <v>84</v>
      </c>
      <c r="B91" s="23" t="s">
        <v>61</v>
      </c>
      <c r="C91" s="37" t="str">
        <f>+C3</f>
        <v>2018. évi előirányzat</v>
      </c>
      <c r="I91" s="756"/>
    </row>
    <row r="92" spans="1:9" s="317" customFormat="1" ht="12" customHeight="1" thickBot="1" x14ac:dyDescent="0.25">
      <c r="A92" s="31" t="s">
        <v>546</v>
      </c>
      <c r="B92" s="32" t="s">
        <v>547</v>
      </c>
      <c r="C92" s="313" t="s">
        <v>548</v>
      </c>
      <c r="H92" s="756"/>
      <c r="I92" s="756"/>
    </row>
    <row r="93" spans="1:9" ht="12" customHeight="1" thickBot="1" x14ac:dyDescent="0.3">
      <c r="A93" s="21" t="s">
        <v>31</v>
      </c>
      <c r="B93" s="25" t="s">
        <v>600</v>
      </c>
      <c r="C93" s="555">
        <f>SUM(D93:F93)</f>
        <v>2418121722</v>
      </c>
      <c r="D93" s="457">
        <f>+D94+D95+D96+D97+D98+D111</f>
        <v>682537985</v>
      </c>
      <c r="E93" s="232">
        <f>+E94+E95+E96+E97+E98+E111</f>
        <v>239347795</v>
      </c>
      <c r="F93" s="522">
        <f>F94+F95+F96+F97+F98+F111</f>
        <v>1496235942</v>
      </c>
      <c r="H93" s="758">
        <f>'1.2.sz.mell. '!C93+'1.3.sz.mell.'!C93+'1.4.sz.mell. '!C93</f>
        <v>2418121722</v>
      </c>
      <c r="I93" s="758">
        <f>C93-H93</f>
        <v>0</v>
      </c>
    </row>
    <row r="94" spans="1:9" ht="12" customHeight="1" x14ac:dyDescent="0.25">
      <c r="A94" s="16" t="s">
        <v>114</v>
      </c>
      <c r="B94" s="9" t="s">
        <v>62</v>
      </c>
      <c r="C94" s="943">
        <f>SUM(D94:F94)</f>
        <v>972189321</v>
      </c>
      <c r="D94" s="528">
        <f>2854500+25097896+75000+16116992+1182990+2491000</f>
        <v>47818378</v>
      </c>
      <c r="E94" s="420">
        <f>2528076+481000+134654515+2215000</f>
        <v>139878591</v>
      </c>
      <c r="F94" s="428">
        <v>784492352</v>
      </c>
      <c r="H94" s="759">
        <f>'1.2.sz.mell. '!C94+'1.3.sz.mell.'!C94+'1.4.sz.mell. '!C94</f>
        <v>972189321</v>
      </c>
      <c r="I94" s="760">
        <f t="shared" ref="I94:I154" si="4">C94-H94</f>
        <v>0</v>
      </c>
    </row>
    <row r="95" spans="1:9" ht="12" customHeight="1" x14ac:dyDescent="0.25">
      <c r="A95" s="13" t="s">
        <v>115</v>
      </c>
      <c r="B95" s="7" t="s">
        <v>190</v>
      </c>
      <c r="C95" s="943">
        <f t="shared" ref="C95:C154" si="5">SUM(D95:F95)</f>
        <v>205103347</v>
      </c>
      <c r="D95" s="411">
        <f>500965+4771305+13275+17258+2940000+14000+207615+1015000</f>
        <v>9479418</v>
      </c>
      <c r="E95" s="237">
        <f>443678+114000+28757160+461687</f>
        <v>29776525</v>
      </c>
      <c r="F95" s="413">
        <v>165847404</v>
      </c>
      <c r="H95" s="761">
        <f>'1.2.sz.mell. '!C95+'1.3.sz.mell.'!C95+'1.4.sz.mell. '!C95</f>
        <v>205103347</v>
      </c>
      <c r="I95" s="762">
        <f t="shared" si="4"/>
        <v>0</v>
      </c>
    </row>
    <row r="96" spans="1:9" ht="12" customHeight="1" x14ac:dyDescent="0.25">
      <c r="A96" s="13" t="s">
        <v>116</v>
      </c>
      <c r="B96" s="7" t="s">
        <v>151</v>
      </c>
      <c r="C96" s="943">
        <f t="shared" si="5"/>
        <v>914471448</v>
      </c>
      <c r="D96" s="415">
        <f>13447475+835000+16099000+50000+52909601+3082677+6787092+2456000+4504030+871220+397000+194467+34163000+50473064+34200000+3285067+156511+9000000+563000+17207888+2681000+3300000+17042731+48545760+500000+381000</f>
        <v>323132583</v>
      </c>
      <c r="E96" s="308">
        <f>4096000+324000+352000+40114003+137126+419550</f>
        <v>45442679</v>
      </c>
      <c r="F96" s="413">
        <v>545896186</v>
      </c>
      <c r="H96" s="761">
        <f>'1.2.sz.mell. '!C96+'1.3.sz.mell.'!C96+'1.4.sz.mell. '!C96</f>
        <v>914471448</v>
      </c>
      <c r="I96" s="762">
        <f t="shared" si="4"/>
        <v>0</v>
      </c>
    </row>
    <row r="97" spans="1:9" ht="12" customHeight="1" x14ac:dyDescent="0.25">
      <c r="A97" s="13" t="s">
        <v>117</v>
      </c>
      <c r="B97" s="7" t="s">
        <v>191</v>
      </c>
      <c r="C97" s="943">
        <f t="shared" si="5"/>
        <v>97250000</v>
      </c>
      <c r="D97" s="415">
        <f>69500000+3500000</f>
        <v>73000000</v>
      </c>
      <c r="E97" s="308">
        <v>24250000</v>
      </c>
      <c r="F97" s="427"/>
      <c r="H97" s="761">
        <f>'1.2.sz.mell. '!C97+'1.3.sz.mell.'!C97+'1.4.sz.mell. '!C97</f>
        <v>97250000</v>
      </c>
      <c r="I97" s="762">
        <f t="shared" si="4"/>
        <v>0</v>
      </c>
    </row>
    <row r="98" spans="1:9" ht="12" customHeight="1" x14ac:dyDescent="0.25">
      <c r="A98" s="13" t="s">
        <v>128</v>
      </c>
      <c r="B98" s="6" t="s">
        <v>192</v>
      </c>
      <c r="C98" s="943">
        <f t="shared" si="5"/>
        <v>148261084</v>
      </c>
      <c r="D98" s="415">
        <f>45183973+52959801+660000+100000+49357310</f>
        <v>148261084</v>
      </c>
      <c r="E98" s="308"/>
      <c r="F98" s="427"/>
      <c r="H98" s="761">
        <f>'1.2.sz.mell. '!C98+'1.3.sz.mell.'!C98+'1.4.sz.mell. '!C98</f>
        <v>148261084</v>
      </c>
      <c r="I98" s="762">
        <f t="shared" si="4"/>
        <v>0</v>
      </c>
    </row>
    <row r="99" spans="1:9" ht="12" customHeight="1" x14ac:dyDescent="0.25">
      <c r="A99" s="13" t="s">
        <v>118</v>
      </c>
      <c r="B99" s="7" t="s">
        <v>563</v>
      </c>
      <c r="C99" s="943">
        <f t="shared" si="5"/>
        <v>100000</v>
      </c>
      <c r="D99" s="415">
        <v>100000</v>
      </c>
      <c r="E99" s="308"/>
      <c r="F99" s="427"/>
      <c r="H99" s="761">
        <f>'1.2.sz.mell. '!C99+'1.3.sz.mell.'!C99+'1.4.sz.mell. '!C99</f>
        <v>100000</v>
      </c>
      <c r="I99" s="762">
        <f t="shared" si="4"/>
        <v>0</v>
      </c>
    </row>
    <row r="100" spans="1:9" ht="12" customHeight="1" x14ac:dyDescent="0.25">
      <c r="A100" s="13" t="s">
        <v>119</v>
      </c>
      <c r="B100" s="108" t="s">
        <v>564</v>
      </c>
      <c r="C100" s="765">
        <f t="shared" si="5"/>
        <v>0</v>
      </c>
      <c r="D100" s="415"/>
      <c r="E100" s="308"/>
      <c r="F100" s="427"/>
      <c r="H100" s="761">
        <f>'1.2.sz.mell. '!C100+'1.3.sz.mell.'!C100+'1.4.sz.mell. '!C100</f>
        <v>0</v>
      </c>
      <c r="I100" s="762">
        <f t="shared" si="4"/>
        <v>0</v>
      </c>
    </row>
    <row r="101" spans="1:9" ht="12" customHeight="1" x14ac:dyDescent="0.25">
      <c r="A101" s="13" t="s">
        <v>129</v>
      </c>
      <c r="B101" s="108" t="s">
        <v>565</v>
      </c>
      <c r="C101" s="765">
        <f t="shared" si="5"/>
        <v>0</v>
      </c>
      <c r="D101" s="415"/>
      <c r="E101" s="308"/>
      <c r="F101" s="427"/>
      <c r="H101" s="761">
        <f>'1.2.sz.mell. '!C101+'1.3.sz.mell.'!C101+'1.4.sz.mell. '!C101</f>
        <v>0</v>
      </c>
      <c r="I101" s="762">
        <f t="shared" si="4"/>
        <v>0</v>
      </c>
    </row>
    <row r="102" spans="1:9" ht="12" customHeight="1" x14ac:dyDescent="0.25">
      <c r="A102" s="13" t="s">
        <v>130</v>
      </c>
      <c r="B102" s="106" t="s">
        <v>366</v>
      </c>
      <c r="C102" s="765">
        <f t="shared" si="5"/>
        <v>0</v>
      </c>
      <c r="D102" s="415"/>
      <c r="E102" s="308"/>
      <c r="F102" s="427"/>
      <c r="H102" s="761">
        <f>'1.2.sz.mell. '!C102+'1.3.sz.mell.'!C102+'1.4.sz.mell. '!C102</f>
        <v>0</v>
      </c>
      <c r="I102" s="762">
        <f t="shared" si="4"/>
        <v>0</v>
      </c>
    </row>
    <row r="103" spans="1:9" ht="12" customHeight="1" x14ac:dyDescent="0.25">
      <c r="A103" s="13" t="s">
        <v>131</v>
      </c>
      <c r="B103" s="107" t="s">
        <v>367</v>
      </c>
      <c r="C103" s="765">
        <f t="shared" si="5"/>
        <v>0</v>
      </c>
      <c r="D103" s="415"/>
      <c r="E103" s="308"/>
      <c r="F103" s="427"/>
      <c r="H103" s="761">
        <f>'1.2.sz.mell. '!C103+'1.3.sz.mell.'!C103+'1.4.sz.mell. '!C103</f>
        <v>0</v>
      </c>
      <c r="I103" s="762">
        <f t="shared" si="4"/>
        <v>0</v>
      </c>
    </row>
    <row r="104" spans="1:9" ht="12" customHeight="1" x14ac:dyDescent="0.25">
      <c r="A104" s="13" t="s">
        <v>132</v>
      </c>
      <c r="B104" s="107" t="s">
        <v>368</v>
      </c>
      <c r="C104" s="765">
        <f t="shared" si="5"/>
        <v>0</v>
      </c>
      <c r="D104" s="415"/>
      <c r="E104" s="308"/>
      <c r="F104" s="427"/>
      <c r="H104" s="761">
        <f>'1.2.sz.mell. '!C104+'1.3.sz.mell.'!C104+'1.4.sz.mell. '!C104</f>
        <v>0</v>
      </c>
      <c r="I104" s="762">
        <f t="shared" si="4"/>
        <v>0</v>
      </c>
    </row>
    <row r="105" spans="1:9" ht="12" customHeight="1" x14ac:dyDescent="0.25">
      <c r="A105" s="13" t="s">
        <v>134</v>
      </c>
      <c r="B105" s="106" t="s">
        <v>369</v>
      </c>
      <c r="C105" s="765">
        <f t="shared" si="5"/>
        <v>0</v>
      </c>
      <c r="D105" s="415"/>
      <c r="E105" s="308"/>
      <c r="F105" s="427"/>
      <c r="H105" s="761">
        <f>'1.2.sz.mell. '!C105+'1.3.sz.mell.'!C105+'1.4.sz.mell. '!C105</f>
        <v>0</v>
      </c>
      <c r="I105" s="762">
        <f t="shared" si="4"/>
        <v>0</v>
      </c>
    </row>
    <row r="106" spans="1:9" ht="12" customHeight="1" x14ac:dyDescent="0.25">
      <c r="A106" s="13" t="s">
        <v>193</v>
      </c>
      <c r="B106" s="106" t="s">
        <v>370</v>
      </c>
      <c r="C106" s="765">
        <f t="shared" si="5"/>
        <v>0</v>
      </c>
      <c r="D106" s="415"/>
      <c r="E106" s="308"/>
      <c r="F106" s="427"/>
      <c r="H106" s="761">
        <f>'1.2.sz.mell. '!C106+'1.3.sz.mell.'!C106+'1.4.sz.mell. '!C106</f>
        <v>0</v>
      </c>
      <c r="I106" s="762">
        <f t="shared" si="4"/>
        <v>0</v>
      </c>
    </row>
    <row r="107" spans="1:9" ht="12" customHeight="1" x14ac:dyDescent="0.25">
      <c r="A107" s="13" t="s">
        <v>364</v>
      </c>
      <c r="B107" s="107" t="s">
        <v>371</v>
      </c>
      <c r="C107" s="765">
        <f t="shared" si="5"/>
        <v>0</v>
      </c>
      <c r="D107" s="415"/>
      <c r="E107" s="308"/>
      <c r="F107" s="427"/>
      <c r="H107" s="761">
        <f>'1.2.sz.mell. '!C107+'1.3.sz.mell.'!C107+'1.4.sz.mell. '!C107</f>
        <v>0</v>
      </c>
      <c r="I107" s="762">
        <f t="shared" si="4"/>
        <v>0</v>
      </c>
    </row>
    <row r="108" spans="1:9" ht="12" customHeight="1" x14ac:dyDescent="0.25">
      <c r="A108" s="12" t="s">
        <v>365</v>
      </c>
      <c r="B108" s="108" t="s">
        <v>372</v>
      </c>
      <c r="C108" s="765">
        <f t="shared" si="5"/>
        <v>0</v>
      </c>
      <c r="D108" s="415"/>
      <c r="E108" s="308"/>
      <c r="F108" s="427"/>
      <c r="H108" s="761">
        <f>'1.2.sz.mell. '!C108+'1.3.sz.mell.'!C108+'1.4.sz.mell. '!C108</f>
        <v>0</v>
      </c>
      <c r="I108" s="762">
        <f t="shared" si="4"/>
        <v>0</v>
      </c>
    </row>
    <row r="109" spans="1:9" ht="12" customHeight="1" x14ac:dyDescent="0.25">
      <c r="A109" s="13" t="s">
        <v>566</v>
      </c>
      <c r="B109" s="108" t="s">
        <v>373</v>
      </c>
      <c r="C109" s="765">
        <f t="shared" si="5"/>
        <v>0</v>
      </c>
      <c r="D109" s="415"/>
      <c r="E109" s="308"/>
      <c r="F109" s="427"/>
      <c r="H109" s="761">
        <f>'1.2.sz.mell. '!C109+'1.3.sz.mell.'!C109+'1.4.sz.mell. '!C109</f>
        <v>0</v>
      </c>
      <c r="I109" s="762">
        <f t="shared" si="4"/>
        <v>0</v>
      </c>
    </row>
    <row r="110" spans="1:9" ht="12" customHeight="1" x14ac:dyDescent="0.25">
      <c r="A110" s="15" t="s">
        <v>567</v>
      </c>
      <c r="B110" s="108" t="s">
        <v>374</v>
      </c>
      <c r="C110" s="943">
        <f t="shared" si="5"/>
        <v>148161084</v>
      </c>
      <c r="D110" s="411">
        <f>5697126+16985629+22501218+52959801+660000+49357310</f>
        <v>148161084</v>
      </c>
      <c r="E110" s="237"/>
      <c r="F110" s="427"/>
      <c r="H110" s="761">
        <f>'1.2.sz.mell. '!C110+'1.3.sz.mell.'!C110+'1.4.sz.mell. '!C110</f>
        <v>148161084</v>
      </c>
      <c r="I110" s="762">
        <f t="shared" si="4"/>
        <v>0</v>
      </c>
    </row>
    <row r="111" spans="1:9" ht="12" customHeight="1" x14ac:dyDescent="0.25">
      <c r="A111" s="13" t="s">
        <v>568</v>
      </c>
      <c r="B111" s="7" t="s">
        <v>63</v>
      </c>
      <c r="C111" s="946">
        <f t="shared" si="5"/>
        <v>80846522</v>
      </c>
      <c r="D111" s="411">
        <f>SUM(D112:D113)</f>
        <v>80846522</v>
      </c>
      <c r="E111" s="237"/>
      <c r="F111" s="413">
        <f>F112+F113</f>
        <v>0</v>
      </c>
      <c r="H111" s="761">
        <f>'1.2.sz.mell. '!C111+'1.3.sz.mell.'!C111+'1.4.sz.mell. '!C111</f>
        <v>80846522</v>
      </c>
      <c r="I111" s="762">
        <f t="shared" si="4"/>
        <v>0</v>
      </c>
    </row>
    <row r="112" spans="1:9" ht="12" customHeight="1" x14ac:dyDescent="0.25">
      <c r="A112" s="13" t="s">
        <v>569</v>
      </c>
      <c r="B112" s="7" t="s">
        <v>570</v>
      </c>
      <c r="C112" s="943">
        <f t="shared" si="5"/>
        <v>15000000</v>
      </c>
      <c r="D112" s="415">
        <v>15000000</v>
      </c>
      <c r="E112" s="308"/>
      <c r="F112" s="413"/>
      <c r="H112" s="761">
        <f>'1.2.sz.mell. '!C112+'1.3.sz.mell.'!C112+'1.4.sz.mell. '!C112</f>
        <v>15000000</v>
      </c>
      <c r="I112" s="762">
        <f t="shared" si="4"/>
        <v>0</v>
      </c>
    </row>
    <row r="113" spans="1:9" ht="12" customHeight="1" thickBot="1" x14ac:dyDescent="0.3">
      <c r="A113" s="17" t="s">
        <v>571</v>
      </c>
      <c r="B113" s="396" t="s">
        <v>572</v>
      </c>
      <c r="C113" s="951">
        <f t="shared" si="5"/>
        <v>65846522</v>
      </c>
      <c r="D113" s="529">
        <v>65846522</v>
      </c>
      <c r="E113" s="431"/>
      <c r="F113" s="429"/>
      <c r="H113" s="763">
        <f>'1.2.sz.mell. '!C113+'1.3.sz.mell.'!C113+'1.4.sz.mell. '!C113</f>
        <v>65846522</v>
      </c>
      <c r="I113" s="764">
        <f t="shared" si="4"/>
        <v>0</v>
      </c>
    </row>
    <row r="114" spans="1:9" ht="12" customHeight="1" thickBot="1" x14ac:dyDescent="0.3">
      <c r="A114" s="397" t="s">
        <v>32</v>
      </c>
      <c r="B114" s="949" t="s">
        <v>375</v>
      </c>
      <c r="C114" s="953">
        <f t="shared" si="5"/>
        <v>555003286</v>
      </c>
      <c r="D114" s="443">
        <f>+D115+D117+D119</f>
        <v>529079194</v>
      </c>
      <c r="E114" s="233">
        <f>+E115+E117+E119</f>
        <v>4919980</v>
      </c>
      <c r="F114" s="399">
        <f>+F115+F117+F119</f>
        <v>21004112</v>
      </c>
      <c r="H114" s="758">
        <f>'1.2.sz.mell. '!C114+'1.3.sz.mell.'!C114+'1.4.sz.mell. '!C114</f>
        <v>555003286</v>
      </c>
      <c r="I114" s="758">
        <f t="shared" si="4"/>
        <v>0</v>
      </c>
    </row>
    <row r="115" spans="1:9" ht="12" customHeight="1" x14ac:dyDescent="0.25">
      <c r="A115" s="14" t="s">
        <v>120</v>
      </c>
      <c r="B115" s="7" t="s">
        <v>236</v>
      </c>
      <c r="C115" s="943">
        <f t="shared" si="5"/>
        <v>306481603</v>
      </c>
      <c r="D115" s="451">
        <f>359410+2345001+219008101+12873483+381000+1500000+3139585+33894811+377190+2338070+4950460</f>
        <v>281167111</v>
      </c>
      <c r="E115" s="357">
        <v>4919980</v>
      </c>
      <c r="F115" s="430">
        <v>20394512</v>
      </c>
      <c r="H115" s="759">
        <f>'1.2.sz.mell. '!C115+'1.3.sz.mell.'!C115+'1.4.sz.mell. '!C115</f>
        <v>306481603</v>
      </c>
      <c r="I115" s="760">
        <f t="shared" si="4"/>
        <v>0</v>
      </c>
    </row>
    <row r="116" spans="1:9" ht="12" customHeight="1" x14ac:dyDescent="0.25">
      <c r="A116" s="14" t="s">
        <v>121</v>
      </c>
      <c r="B116" s="11" t="s">
        <v>379</v>
      </c>
      <c r="C116" s="943">
        <f t="shared" si="5"/>
        <v>266452313</v>
      </c>
      <c r="D116" s="945">
        <f>12873483+33259811+218246101</f>
        <v>264379395</v>
      </c>
      <c r="E116" s="357"/>
      <c r="F116" s="430">
        <v>2072918</v>
      </c>
      <c r="H116" s="761">
        <f>'1.2.sz.mell. '!C116+'1.3.sz.mell.'!C116+'1.4.sz.mell. '!C116</f>
        <v>266452313</v>
      </c>
      <c r="I116" s="762">
        <f t="shared" si="4"/>
        <v>0</v>
      </c>
    </row>
    <row r="117" spans="1:9" ht="12" customHeight="1" x14ac:dyDescent="0.25">
      <c r="A117" s="14" t="s">
        <v>122</v>
      </c>
      <c r="B117" s="11" t="s">
        <v>194</v>
      </c>
      <c r="C117" s="943">
        <f t="shared" si="5"/>
        <v>182810962</v>
      </c>
      <c r="D117" s="411">
        <f>180701362+1500000</f>
        <v>182201362</v>
      </c>
      <c r="E117" s="237"/>
      <c r="F117" s="413">
        <v>609600</v>
      </c>
      <c r="H117" s="761">
        <f>'1.2.sz.mell. '!C117+'1.3.sz.mell.'!C117+'1.4.sz.mell. '!C117</f>
        <v>182810962</v>
      </c>
      <c r="I117" s="762">
        <f t="shared" si="4"/>
        <v>0</v>
      </c>
    </row>
    <row r="118" spans="1:9" ht="12" customHeight="1" x14ac:dyDescent="0.25">
      <c r="A118" s="14" t="s">
        <v>123</v>
      </c>
      <c r="B118" s="11" t="s">
        <v>380</v>
      </c>
      <c r="C118" s="765">
        <f t="shared" si="5"/>
        <v>146098020</v>
      </c>
      <c r="D118" s="944">
        <v>146098020</v>
      </c>
      <c r="E118" s="423"/>
      <c r="F118" s="411"/>
      <c r="H118" s="761">
        <f>'1.2.sz.mell. '!C118+'1.3.sz.mell.'!C118+'1.4.sz.mell. '!C118</f>
        <v>146098020</v>
      </c>
      <c r="I118" s="762">
        <f t="shared" si="4"/>
        <v>0</v>
      </c>
    </row>
    <row r="119" spans="1:9" ht="12" customHeight="1" x14ac:dyDescent="0.25">
      <c r="A119" s="14" t="s">
        <v>124</v>
      </c>
      <c r="B119" s="230" t="s">
        <v>238</v>
      </c>
      <c r="C119" s="943">
        <f t="shared" si="5"/>
        <v>65710721</v>
      </c>
      <c r="D119" s="411">
        <v>65710721</v>
      </c>
      <c r="E119" s="411"/>
      <c r="F119" s="411"/>
      <c r="H119" s="761">
        <f>'1.2.sz.mell. '!C119+'1.3.sz.mell.'!C119+'1.4.sz.mell. '!C119</f>
        <v>65710721</v>
      </c>
      <c r="I119" s="762">
        <f t="shared" si="4"/>
        <v>0</v>
      </c>
    </row>
    <row r="120" spans="1:9" ht="12" customHeight="1" x14ac:dyDescent="0.25">
      <c r="A120" s="14" t="s">
        <v>133</v>
      </c>
      <c r="B120" s="229" t="s">
        <v>442</v>
      </c>
      <c r="C120" s="765">
        <f t="shared" si="5"/>
        <v>0</v>
      </c>
      <c r="D120" s="217"/>
      <c r="E120" s="217"/>
      <c r="F120" s="411"/>
      <c r="H120" s="761">
        <f>'1.2.sz.mell. '!C120+'1.3.sz.mell.'!C120+'1.4.sz.mell. '!C120</f>
        <v>0</v>
      </c>
      <c r="I120" s="762">
        <f t="shared" si="4"/>
        <v>0</v>
      </c>
    </row>
    <row r="121" spans="1:9" ht="12" customHeight="1" x14ac:dyDescent="0.25">
      <c r="A121" s="14" t="s">
        <v>135</v>
      </c>
      <c r="B121" s="315" t="s">
        <v>385</v>
      </c>
      <c r="C121" s="765">
        <f t="shared" si="5"/>
        <v>0</v>
      </c>
      <c r="D121" s="217"/>
      <c r="E121" s="217"/>
      <c r="F121" s="411"/>
      <c r="H121" s="761">
        <f>'1.2.sz.mell. '!C121+'1.3.sz.mell.'!C121+'1.4.sz.mell. '!C121</f>
        <v>0</v>
      </c>
      <c r="I121" s="762">
        <f t="shared" si="4"/>
        <v>0</v>
      </c>
    </row>
    <row r="122" spans="1:9" x14ac:dyDescent="0.25">
      <c r="A122" s="14" t="s">
        <v>195</v>
      </c>
      <c r="B122" s="107" t="s">
        <v>368</v>
      </c>
      <c r="C122" s="765">
        <f t="shared" si="5"/>
        <v>0</v>
      </c>
      <c r="D122" s="217"/>
      <c r="E122" s="217"/>
      <c r="F122" s="411"/>
      <c r="H122" s="761">
        <f>'1.2.sz.mell. '!C122+'1.3.sz.mell.'!C122+'1.4.sz.mell. '!C122</f>
        <v>0</v>
      </c>
      <c r="I122" s="762">
        <f t="shared" si="4"/>
        <v>0</v>
      </c>
    </row>
    <row r="123" spans="1:9" ht="12" customHeight="1" x14ac:dyDescent="0.25">
      <c r="A123" s="14" t="s">
        <v>196</v>
      </c>
      <c r="B123" s="107" t="s">
        <v>384</v>
      </c>
      <c r="C123" s="765">
        <f t="shared" si="5"/>
        <v>0</v>
      </c>
      <c r="D123" s="217"/>
      <c r="E123" s="217"/>
      <c r="F123" s="411"/>
      <c r="H123" s="761">
        <f>'1.2.sz.mell. '!C123+'1.3.sz.mell.'!C123+'1.4.sz.mell. '!C123</f>
        <v>0</v>
      </c>
      <c r="I123" s="762">
        <f t="shared" si="4"/>
        <v>0</v>
      </c>
    </row>
    <row r="124" spans="1:9" ht="12" customHeight="1" x14ac:dyDescent="0.25">
      <c r="A124" s="14" t="s">
        <v>197</v>
      </c>
      <c r="B124" s="107" t="s">
        <v>383</v>
      </c>
      <c r="C124" s="765">
        <f t="shared" si="5"/>
        <v>0</v>
      </c>
      <c r="D124" s="217"/>
      <c r="E124" s="217"/>
      <c r="F124" s="411"/>
      <c r="H124" s="761">
        <f>'1.2.sz.mell. '!C124+'1.3.sz.mell.'!C124+'1.4.sz.mell. '!C124</f>
        <v>0</v>
      </c>
      <c r="I124" s="762">
        <f t="shared" si="4"/>
        <v>0</v>
      </c>
    </row>
    <row r="125" spans="1:9" ht="12" customHeight="1" x14ac:dyDescent="0.25">
      <c r="A125" s="14" t="s">
        <v>376</v>
      </c>
      <c r="B125" s="107" t="s">
        <v>371</v>
      </c>
      <c r="C125" s="765">
        <f t="shared" si="5"/>
        <v>0</v>
      </c>
      <c r="D125" s="217"/>
      <c r="E125" s="217"/>
      <c r="F125" s="411"/>
      <c r="H125" s="761">
        <f>'1.2.sz.mell. '!C125+'1.3.sz.mell.'!C125+'1.4.sz.mell. '!C125</f>
        <v>0</v>
      </c>
      <c r="I125" s="762">
        <f t="shared" si="4"/>
        <v>0</v>
      </c>
    </row>
    <row r="126" spans="1:9" ht="12" customHeight="1" x14ac:dyDescent="0.25">
      <c r="A126" s="14" t="s">
        <v>377</v>
      </c>
      <c r="B126" s="107" t="s">
        <v>382</v>
      </c>
      <c r="C126" s="765">
        <f t="shared" si="5"/>
        <v>0</v>
      </c>
      <c r="D126" s="217"/>
      <c r="E126" s="217"/>
      <c r="F126" s="411"/>
      <c r="H126" s="761">
        <f>'1.2.sz.mell. '!C126+'1.3.sz.mell.'!C126+'1.4.sz.mell. '!C126</f>
        <v>0</v>
      </c>
      <c r="I126" s="762">
        <f t="shared" si="4"/>
        <v>0</v>
      </c>
    </row>
    <row r="127" spans="1:9" ht="16.5" thickBot="1" x14ac:dyDescent="0.3">
      <c r="A127" s="12" t="s">
        <v>378</v>
      </c>
      <c r="B127" s="107" t="s">
        <v>381</v>
      </c>
      <c r="C127" s="951">
        <f t="shared" si="5"/>
        <v>65710721</v>
      </c>
      <c r="D127" s="415">
        <v>65710721</v>
      </c>
      <c r="E127" s="415"/>
      <c r="F127" s="415"/>
      <c r="H127" s="763">
        <f>'1.2.sz.mell. '!C127+'1.3.sz.mell.'!C127+'1.4.sz.mell. '!C127</f>
        <v>65710721</v>
      </c>
      <c r="I127" s="764">
        <f t="shared" si="4"/>
        <v>0</v>
      </c>
    </row>
    <row r="128" spans="1:9" ht="12" customHeight="1" thickBot="1" x14ac:dyDescent="0.3">
      <c r="A128" s="19" t="s">
        <v>33</v>
      </c>
      <c r="B128" s="950" t="s">
        <v>573</v>
      </c>
      <c r="C128" s="953">
        <f t="shared" si="5"/>
        <v>2973125008</v>
      </c>
      <c r="D128" s="443">
        <f>+D93+D114</f>
        <v>1211617179</v>
      </c>
      <c r="E128" s="233">
        <f>+E93+E114</f>
        <v>244267775</v>
      </c>
      <c r="F128" s="233">
        <f>+F93+F114</f>
        <v>1517240054</v>
      </c>
      <c r="H128" s="758">
        <f>'1.2.sz.mell. '!C128+'1.3.sz.mell.'!C128+'1.4.sz.mell. '!C128</f>
        <v>2973125008</v>
      </c>
      <c r="I128" s="758">
        <f t="shared" si="4"/>
        <v>0</v>
      </c>
    </row>
    <row r="129" spans="1:9" ht="12" customHeight="1" thickBot="1" x14ac:dyDescent="0.3">
      <c r="A129" s="19" t="s">
        <v>34</v>
      </c>
      <c r="B129" s="950" t="s">
        <v>574</v>
      </c>
      <c r="C129" s="953">
        <f t="shared" si="5"/>
        <v>108486704</v>
      </c>
      <c r="D129" s="443">
        <f>+D130+D131+D132</f>
        <v>108486704</v>
      </c>
      <c r="E129" s="233">
        <f>+E130+E131+E132</f>
        <v>0</v>
      </c>
      <c r="F129" s="233">
        <f>+F130+F131+F132</f>
        <v>0</v>
      </c>
      <c r="H129" s="758">
        <f>'1.2.sz.mell. '!C129+'1.3.sz.mell.'!C129+'1.4.sz.mell. '!C129</f>
        <v>108486704</v>
      </c>
      <c r="I129" s="758">
        <f t="shared" si="4"/>
        <v>0</v>
      </c>
    </row>
    <row r="130" spans="1:9" ht="12" customHeight="1" x14ac:dyDescent="0.25">
      <c r="A130" s="14" t="s">
        <v>276</v>
      </c>
      <c r="B130" s="11" t="s">
        <v>575</v>
      </c>
      <c r="C130" s="943">
        <f t="shared" si="5"/>
        <v>8486704</v>
      </c>
      <c r="D130" s="411">
        <f>4042704+4444000</f>
        <v>8486704</v>
      </c>
      <c r="E130" s="411"/>
      <c r="F130" s="411"/>
      <c r="H130" s="759">
        <f>'1.2.sz.mell. '!C130+'1.3.sz.mell.'!C130+'1.4.sz.mell. '!C130</f>
        <v>8486704</v>
      </c>
      <c r="I130" s="760">
        <f t="shared" si="4"/>
        <v>0</v>
      </c>
    </row>
    <row r="131" spans="1:9" ht="12" customHeight="1" x14ac:dyDescent="0.25">
      <c r="A131" s="14" t="s">
        <v>279</v>
      </c>
      <c r="B131" s="11" t="s">
        <v>576</v>
      </c>
      <c r="C131" s="943">
        <f t="shared" si="5"/>
        <v>100000000</v>
      </c>
      <c r="D131" s="217">
        <v>100000000</v>
      </c>
      <c r="E131" s="217"/>
      <c r="F131" s="217"/>
      <c r="H131" s="761">
        <f>'1.2.sz.mell. '!C131+'1.3.sz.mell.'!C131+'1.4.sz.mell. '!C131</f>
        <v>100000000</v>
      </c>
      <c r="I131" s="762">
        <f t="shared" si="4"/>
        <v>0</v>
      </c>
    </row>
    <row r="132" spans="1:9" ht="12" customHeight="1" thickBot="1" x14ac:dyDescent="0.3">
      <c r="A132" s="12" t="s">
        <v>280</v>
      </c>
      <c r="B132" s="11" t="s">
        <v>577</v>
      </c>
      <c r="C132" s="952">
        <f t="shared" si="5"/>
        <v>0</v>
      </c>
      <c r="D132" s="217"/>
      <c r="E132" s="217"/>
      <c r="F132" s="217"/>
      <c r="H132" s="763">
        <f>'1.2.sz.mell. '!C132+'1.3.sz.mell.'!C132+'1.4.sz.mell. '!C132</f>
        <v>0</v>
      </c>
      <c r="I132" s="764">
        <f t="shared" si="4"/>
        <v>0</v>
      </c>
    </row>
    <row r="133" spans="1:9" ht="12" customHeight="1" thickBot="1" x14ac:dyDescent="0.3">
      <c r="A133" s="19" t="s">
        <v>35</v>
      </c>
      <c r="B133" s="950" t="s">
        <v>578</v>
      </c>
      <c r="C133" s="953">
        <f t="shared" si="5"/>
        <v>0</v>
      </c>
      <c r="D133" s="443">
        <f>+D134+D135+D136+D137+D138+D139</f>
        <v>0</v>
      </c>
      <c r="E133" s="233">
        <f>+E134+E135+E136+E137+E138+E139</f>
        <v>0</v>
      </c>
      <c r="F133" s="233">
        <f>SUM(F134:F139)</f>
        <v>0</v>
      </c>
      <c r="H133" s="758">
        <f>'1.2.sz.mell. '!C133+'1.3.sz.mell.'!C133+'1.4.sz.mell. '!C133</f>
        <v>0</v>
      </c>
      <c r="I133" s="758">
        <f t="shared" si="4"/>
        <v>0</v>
      </c>
    </row>
    <row r="134" spans="1:9" ht="12" customHeight="1" x14ac:dyDescent="0.25">
      <c r="A134" s="14" t="s">
        <v>107</v>
      </c>
      <c r="B134" s="8" t="s">
        <v>579</v>
      </c>
      <c r="C134" s="946">
        <f t="shared" si="5"/>
        <v>0</v>
      </c>
      <c r="D134" s="217"/>
      <c r="E134" s="217"/>
      <c r="F134" s="217"/>
      <c r="H134" s="759">
        <f>'1.2.sz.mell. '!C134+'1.3.sz.mell.'!C134+'1.4.sz.mell. '!C134</f>
        <v>0</v>
      </c>
      <c r="I134" s="760">
        <f t="shared" si="4"/>
        <v>0</v>
      </c>
    </row>
    <row r="135" spans="1:9" ht="12" customHeight="1" x14ac:dyDescent="0.25">
      <c r="A135" s="14" t="s">
        <v>108</v>
      </c>
      <c r="B135" s="8" t="s">
        <v>580</v>
      </c>
      <c r="C135" s="946">
        <f t="shared" si="5"/>
        <v>0</v>
      </c>
      <c r="D135" s="217"/>
      <c r="E135" s="217"/>
      <c r="F135" s="217"/>
      <c r="H135" s="761">
        <f>'1.2.sz.mell. '!C135+'1.3.sz.mell.'!C135+'1.4.sz.mell. '!C135</f>
        <v>0</v>
      </c>
      <c r="I135" s="762">
        <f t="shared" si="4"/>
        <v>0</v>
      </c>
    </row>
    <row r="136" spans="1:9" ht="12" customHeight="1" x14ac:dyDescent="0.25">
      <c r="A136" s="14" t="s">
        <v>109</v>
      </c>
      <c r="B136" s="8" t="s">
        <v>581</v>
      </c>
      <c r="C136" s="946">
        <f t="shared" si="5"/>
        <v>0</v>
      </c>
      <c r="D136" s="217"/>
      <c r="E136" s="217"/>
      <c r="F136" s="217"/>
      <c r="H136" s="761">
        <f>'1.2.sz.mell. '!C136+'1.3.sz.mell.'!C136+'1.4.sz.mell. '!C136</f>
        <v>0</v>
      </c>
      <c r="I136" s="762">
        <f t="shared" si="4"/>
        <v>0</v>
      </c>
    </row>
    <row r="137" spans="1:9" ht="12" customHeight="1" x14ac:dyDescent="0.25">
      <c r="A137" s="14" t="s">
        <v>182</v>
      </c>
      <c r="B137" s="8" t="s">
        <v>582</v>
      </c>
      <c r="C137" s="946">
        <f t="shared" si="5"/>
        <v>0</v>
      </c>
      <c r="D137" s="217"/>
      <c r="E137" s="217"/>
      <c r="F137" s="217"/>
      <c r="H137" s="761">
        <f>'1.2.sz.mell. '!C137+'1.3.sz.mell.'!C137+'1.4.sz.mell. '!C137</f>
        <v>0</v>
      </c>
      <c r="I137" s="762">
        <f t="shared" si="4"/>
        <v>0</v>
      </c>
    </row>
    <row r="138" spans="1:9" ht="12" customHeight="1" x14ac:dyDescent="0.25">
      <c r="A138" s="14" t="s">
        <v>183</v>
      </c>
      <c r="B138" s="8" t="s">
        <v>583</v>
      </c>
      <c r="C138" s="946">
        <f t="shared" si="5"/>
        <v>0</v>
      </c>
      <c r="D138" s="217"/>
      <c r="E138" s="217"/>
      <c r="F138" s="217"/>
      <c r="H138" s="761">
        <f>'1.2.sz.mell. '!C138+'1.3.sz.mell.'!C138+'1.4.sz.mell. '!C138</f>
        <v>0</v>
      </c>
      <c r="I138" s="762">
        <f t="shared" si="4"/>
        <v>0</v>
      </c>
    </row>
    <row r="139" spans="1:9" ht="12" customHeight="1" thickBot="1" x14ac:dyDescent="0.3">
      <c r="A139" s="12" t="s">
        <v>184</v>
      </c>
      <c r="B139" s="8" t="s">
        <v>584</v>
      </c>
      <c r="C139" s="952">
        <f t="shared" si="5"/>
        <v>0</v>
      </c>
      <c r="D139" s="217"/>
      <c r="E139" s="217"/>
      <c r="F139" s="217"/>
      <c r="H139" s="763">
        <f>'1.2.sz.mell. '!C139+'1.3.sz.mell.'!C139+'1.4.sz.mell. '!C139</f>
        <v>0</v>
      </c>
      <c r="I139" s="764">
        <f t="shared" si="4"/>
        <v>0</v>
      </c>
    </row>
    <row r="140" spans="1:9" ht="12" customHeight="1" thickBot="1" x14ac:dyDescent="0.3">
      <c r="A140" s="19" t="s">
        <v>36</v>
      </c>
      <c r="B140" s="950" t="s">
        <v>585</v>
      </c>
      <c r="C140" s="953">
        <f t="shared" si="5"/>
        <v>38167591</v>
      </c>
      <c r="D140" s="448">
        <f>+D141+D142+D143+D144</f>
        <v>38167591</v>
      </c>
      <c r="E140" s="238">
        <f>+E141+E142+E143+E144</f>
        <v>0</v>
      </c>
      <c r="F140" s="238">
        <f>+F141+F142+F143+F144</f>
        <v>0</v>
      </c>
      <c r="H140" s="758">
        <f>'1.2.sz.mell. '!C140+'1.3.sz.mell.'!C140+'1.4.sz.mell. '!C140</f>
        <v>38167591</v>
      </c>
      <c r="I140" s="758">
        <f t="shared" si="4"/>
        <v>0</v>
      </c>
    </row>
    <row r="141" spans="1:9" ht="12" customHeight="1" x14ac:dyDescent="0.25">
      <c r="A141" s="14" t="s">
        <v>110</v>
      </c>
      <c r="B141" s="8" t="s">
        <v>386</v>
      </c>
      <c r="C141" s="946">
        <f t="shared" si="5"/>
        <v>0</v>
      </c>
      <c r="D141" s="217"/>
      <c r="E141" s="217"/>
      <c r="F141" s="217"/>
      <c r="H141" s="759">
        <f>'1.2.sz.mell. '!C141+'1.3.sz.mell.'!C141+'1.4.sz.mell. '!C141</f>
        <v>0</v>
      </c>
      <c r="I141" s="760">
        <f t="shared" si="4"/>
        <v>0</v>
      </c>
    </row>
    <row r="142" spans="1:9" ht="12" customHeight="1" x14ac:dyDescent="0.25">
      <c r="A142" s="14" t="s">
        <v>111</v>
      </c>
      <c r="B142" s="8" t="s">
        <v>387</v>
      </c>
      <c r="C142" s="943">
        <f t="shared" si="5"/>
        <v>38167591</v>
      </c>
      <c r="D142" s="217">
        <v>38167591</v>
      </c>
      <c r="E142" s="217"/>
      <c r="F142" s="217"/>
      <c r="H142" s="761">
        <f>'1.2.sz.mell. '!C142+'1.3.sz.mell.'!C142+'1.4.sz.mell. '!C142</f>
        <v>38167591</v>
      </c>
      <c r="I142" s="762">
        <f t="shared" si="4"/>
        <v>0</v>
      </c>
    </row>
    <row r="143" spans="1:9" ht="12" customHeight="1" x14ac:dyDescent="0.25">
      <c r="A143" s="14" t="s">
        <v>300</v>
      </c>
      <c r="B143" s="8" t="s">
        <v>586</v>
      </c>
      <c r="C143" s="946">
        <f t="shared" si="5"/>
        <v>0</v>
      </c>
      <c r="D143" s="217"/>
      <c r="E143" s="217"/>
      <c r="F143" s="217"/>
      <c r="H143" s="761">
        <f>'1.2.sz.mell. '!C143+'1.3.sz.mell.'!C143+'1.4.sz.mell. '!C143</f>
        <v>0</v>
      </c>
      <c r="I143" s="762">
        <f t="shared" si="4"/>
        <v>0</v>
      </c>
    </row>
    <row r="144" spans="1:9" ht="12" customHeight="1" thickBot="1" x14ac:dyDescent="0.3">
      <c r="A144" s="12" t="s">
        <v>301</v>
      </c>
      <c r="B144" s="6" t="s">
        <v>405</v>
      </c>
      <c r="C144" s="952">
        <f t="shared" si="5"/>
        <v>0</v>
      </c>
      <c r="D144" s="217"/>
      <c r="E144" s="217"/>
      <c r="F144" s="217"/>
      <c r="H144" s="763">
        <f>'1.2.sz.mell. '!C144+'1.3.sz.mell.'!C144+'1.4.sz.mell. '!C144</f>
        <v>0</v>
      </c>
      <c r="I144" s="764">
        <f t="shared" si="4"/>
        <v>0</v>
      </c>
    </row>
    <row r="145" spans="1:9" ht="12" customHeight="1" thickBot="1" x14ac:dyDescent="0.3">
      <c r="A145" s="19" t="s">
        <v>37</v>
      </c>
      <c r="B145" s="950" t="s">
        <v>587</v>
      </c>
      <c r="C145" s="953">
        <f t="shared" si="5"/>
        <v>0</v>
      </c>
      <c r="D145" s="459">
        <f>+D146+D147+D148+D149+D150</f>
        <v>0</v>
      </c>
      <c r="E145" s="241">
        <f>+E146+E147+E148+E149+E150</f>
        <v>0</v>
      </c>
      <c r="F145" s="241">
        <f>SUM(F146:F150)</f>
        <v>0</v>
      </c>
      <c r="H145" s="758">
        <f>'1.2.sz.mell. '!C145+'1.3.sz.mell.'!C145+'1.4.sz.mell. '!C145</f>
        <v>0</v>
      </c>
      <c r="I145" s="758">
        <f t="shared" si="4"/>
        <v>0</v>
      </c>
    </row>
    <row r="146" spans="1:9" ht="12" customHeight="1" x14ac:dyDescent="0.25">
      <c r="A146" s="14" t="s">
        <v>112</v>
      </c>
      <c r="B146" s="8" t="s">
        <v>588</v>
      </c>
      <c r="C146" s="946">
        <f t="shared" si="5"/>
        <v>0</v>
      </c>
      <c r="D146" s="217"/>
      <c r="E146" s="217"/>
      <c r="F146" s="217"/>
      <c r="H146" s="759">
        <f>'1.2.sz.mell. '!C146+'1.3.sz.mell.'!C146+'1.4.sz.mell. '!C146</f>
        <v>0</v>
      </c>
      <c r="I146" s="760">
        <f t="shared" si="4"/>
        <v>0</v>
      </c>
    </row>
    <row r="147" spans="1:9" ht="12" customHeight="1" x14ac:dyDescent="0.25">
      <c r="A147" s="14" t="s">
        <v>113</v>
      </c>
      <c r="B147" s="8" t="s">
        <v>589</v>
      </c>
      <c r="C147" s="946">
        <f t="shared" si="5"/>
        <v>0</v>
      </c>
      <c r="D147" s="217"/>
      <c r="E147" s="217"/>
      <c r="F147" s="217"/>
      <c r="H147" s="761">
        <f>'1.2.sz.mell. '!C147+'1.3.sz.mell.'!C147+'1.4.sz.mell. '!C147</f>
        <v>0</v>
      </c>
      <c r="I147" s="762">
        <f t="shared" si="4"/>
        <v>0</v>
      </c>
    </row>
    <row r="148" spans="1:9" ht="12" customHeight="1" x14ac:dyDescent="0.25">
      <c r="A148" s="14" t="s">
        <v>312</v>
      </c>
      <c r="B148" s="8" t="s">
        <v>590</v>
      </c>
      <c r="C148" s="946">
        <f t="shared" si="5"/>
        <v>0</v>
      </c>
      <c r="D148" s="217"/>
      <c r="E148" s="217"/>
      <c r="F148" s="217"/>
      <c r="H148" s="761">
        <f>'1.2.sz.mell. '!C148+'1.3.sz.mell.'!C148+'1.4.sz.mell. '!C148</f>
        <v>0</v>
      </c>
      <c r="I148" s="762">
        <f t="shared" si="4"/>
        <v>0</v>
      </c>
    </row>
    <row r="149" spans="1:9" ht="12" customHeight="1" x14ac:dyDescent="0.25">
      <c r="A149" s="14" t="s">
        <v>313</v>
      </c>
      <c r="B149" s="8" t="s">
        <v>591</v>
      </c>
      <c r="C149" s="946">
        <f t="shared" si="5"/>
        <v>0</v>
      </c>
      <c r="D149" s="217"/>
      <c r="E149" s="217"/>
      <c r="F149" s="217"/>
      <c r="H149" s="761">
        <f>'1.2.sz.mell. '!C149+'1.3.sz.mell.'!C149+'1.4.sz.mell. '!C149</f>
        <v>0</v>
      </c>
      <c r="I149" s="762">
        <f t="shared" si="4"/>
        <v>0</v>
      </c>
    </row>
    <row r="150" spans="1:9" ht="12" customHeight="1" thickBot="1" x14ac:dyDescent="0.3">
      <c r="A150" s="14" t="s">
        <v>592</v>
      </c>
      <c r="B150" s="8" t="s">
        <v>593</v>
      </c>
      <c r="C150" s="952">
        <f t="shared" si="5"/>
        <v>0</v>
      </c>
      <c r="D150" s="218"/>
      <c r="E150" s="218"/>
      <c r="F150" s="217"/>
      <c r="H150" s="763">
        <f>'1.2.sz.mell. '!C150+'1.3.sz.mell.'!C150+'1.4.sz.mell. '!C150</f>
        <v>0</v>
      </c>
      <c r="I150" s="764">
        <f t="shared" si="4"/>
        <v>0</v>
      </c>
    </row>
    <row r="151" spans="1:9" ht="12" customHeight="1" thickBot="1" x14ac:dyDescent="0.3">
      <c r="A151" s="19" t="s">
        <v>38</v>
      </c>
      <c r="B151" s="950" t="s">
        <v>594</v>
      </c>
      <c r="C151" s="953">
        <f t="shared" si="5"/>
        <v>0</v>
      </c>
      <c r="D151" s="459"/>
      <c r="E151" s="241"/>
      <c r="F151" s="400"/>
      <c r="H151" s="758">
        <f>'1.2.sz.mell. '!C151+'1.3.sz.mell.'!C151+'1.4.sz.mell. '!C151</f>
        <v>0</v>
      </c>
      <c r="I151" s="758">
        <f t="shared" si="4"/>
        <v>0</v>
      </c>
    </row>
    <row r="152" spans="1:9" ht="12" customHeight="1" thickBot="1" x14ac:dyDescent="0.3">
      <c r="A152" s="19" t="s">
        <v>39</v>
      </c>
      <c r="B152" s="950" t="s">
        <v>595</v>
      </c>
      <c r="C152" s="953">
        <f t="shared" si="5"/>
        <v>0</v>
      </c>
      <c r="D152" s="459"/>
      <c r="E152" s="241"/>
      <c r="F152" s="400"/>
      <c r="H152" s="758">
        <f>'1.2.sz.mell. '!C152+'1.3.sz.mell.'!C152+'1.4.sz.mell. '!C152</f>
        <v>0</v>
      </c>
      <c r="I152" s="758">
        <f t="shared" si="4"/>
        <v>0</v>
      </c>
    </row>
    <row r="153" spans="1:9" ht="15" customHeight="1" thickBot="1" x14ac:dyDescent="0.3">
      <c r="A153" s="19" t="s">
        <v>40</v>
      </c>
      <c r="B153" s="950" t="s">
        <v>596</v>
      </c>
      <c r="C153" s="953">
        <f t="shared" si="5"/>
        <v>146654295</v>
      </c>
      <c r="D153" s="461">
        <f>+D129+D133+D140+D145+D151+D152</f>
        <v>146654295</v>
      </c>
      <c r="E153" s="329">
        <f>+E129+E133+E140+E145+E151+E152</f>
        <v>0</v>
      </c>
      <c r="F153" s="329">
        <f>+F129+F133+F140+F145+F151+F152</f>
        <v>0</v>
      </c>
      <c r="G153" s="330"/>
      <c r="H153" s="758">
        <f>'1.2.sz.mell. '!C153+'1.3.sz.mell.'!C153+'1.4.sz.mell. '!C153</f>
        <v>146654295</v>
      </c>
      <c r="I153" s="758">
        <f t="shared" si="4"/>
        <v>0</v>
      </c>
    </row>
    <row r="154" spans="1:9" s="318" customFormat="1" ht="12.95" customHeight="1" thickBot="1" x14ac:dyDescent="0.25">
      <c r="A154" s="231" t="s">
        <v>41</v>
      </c>
      <c r="B154" s="954" t="s">
        <v>597</v>
      </c>
      <c r="C154" s="953">
        <f t="shared" si="5"/>
        <v>3119779303</v>
      </c>
      <c r="D154" s="461">
        <f>+D128+D153</f>
        <v>1358271474</v>
      </c>
      <c r="E154" s="329">
        <f>+E128+E153</f>
        <v>244267775</v>
      </c>
      <c r="F154" s="329">
        <f>+F128+F153</f>
        <v>1517240054</v>
      </c>
      <c r="H154" s="758">
        <f>'1.2.sz.mell. '!C154+'1.3.sz.mell.'!C154+'1.4.sz.mell. '!C154</f>
        <v>3119779303</v>
      </c>
      <c r="I154" s="758">
        <f t="shared" si="4"/>
        <v>0</v>
      </c>
    </row>
    <row r="155" spans="1:9" ht="7.5" customHeight="1" x14ac:dyDescent="0.25">
      <c r="C155" s="306"/>
    </row>
    <row r="156" spans="1:9" x14ac:dyDescent="0.25">
      <c r="A156" s="1173" t="s">
        <v>388</v>
      </c>
      <c r="B156" s="1173"/>
      <c r="C156" s="1173"/>
    </row>
    <row r="157" spans="1:9" ht="15" customHeight="1" thickBot="1" x14ac:dyDescent="0.3">
      <c r="A157" s="1170" t="s">
        <v>163</v>
      </c>
      <c r="B157" s="1170"/>
      <c r="C157" s="242" t="s">
        <v>688</v>
      </c>
    </row>
    <row r="158" spans="1:9" ht="13.5" customHeight="1" thickBot="1" x14ac:dyDescent="0.3">
      <c r="A158" s="19">
        <v>1</v>
      </c>
      <c r="B158" s="24" t="s">
        <v>598</v>
      </c>
      <c r="C158" s="233">
        <f>+C62-C128</f>
        <v>-642054020</v>
      </c>
    </row>
    <row r="159" spans="1:9" ht="27.75" customHeight="1" thickBot="1" x14ac:dyDescent="0.3">
      <c r="A159" s="19" t="s">
        <v>32</v>
      </c>
      <c r="B159" s="24" t="s">
        <v>599</v>
      </c>
      <c r="C159" s="233">
        <f>+C86-C153</f>
        <v>642054020</v>
      </c>
      <c r="H159" s="756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1.1. melléklet a .../.....(.......)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9"/>
  <sheetViews>
    <sheetView view="pageLayout" zoomScaleNormal="100" workbookViewId="0">
      <selection activeCell="G3" sqref="G3"/>
    </sheetView>
  </sheetViews>
  <sheetFormatPr defaultRowHeight="12.75" x14ac:dyDescent="0.2"/>
  <cols>
    <col min="1" max="1" width="60.33203125" style="39" customWidth="1"/>
    <col min="2" max="2" width="15.6640625" style="38" customWidth="1"/>
    <col min="3" max="3" width="16.33203125" style="38" customWidth="1"/>
    <col min="4" max="4" width="18" style="38" customWidth="1"/>
    <col min="5" max="5" width="16.6640625" style="38" customWidth="1"/>
    <col min="6" max="6" width="18.83203125" style="48" customWidth="1"/>
    <col min="7" max="8" width="12.83203125" style="38" customWidth="1"/>
    <col min="9" max="9" width="13.83203125" style="38" customWidth="1"/>
    <col min="10" max="16384" width="9.33203125" style="38"/>
  </cols>
  <sheetData>
    <row r="1" spans="1:7" ht="25.5" customHeight="1" x14ac:dyDescent="0.2">
      <c r="A1" s="1193" t="s">
        <v>13</v>
      </c>
      <c r="B1" s="1193"/>
      <c r="C1" s="1193"/>
      <c r="D1" s="1193"/>
      <c r="E1" s="1193"/>
      <c r="F1" s="1193"/>
    </row>
    <row r="2" spans="1:7" ht="22.5" customHeight="1" thickBot="1" x14ac:dyDescent="0.3">
      <c r="A2" s="137"/>
      <c r="B2" s="48"/>
      <c r="C2" s="48"/>
      <c r="D2" s="48"/>
      <c r="E2" s="48"/>
      <c r="F2" s="46" t="s">
        <v>693</v>
      </c>
    </row>
    <row r="3" spans="1:7" s="41" customFormat="1" ht="44.25" customHeight="1" thickBot="1" x14ac:dyDescent="0.25">
      <c r="A3" s="138" t="s">
        <v>79</v>
      </c>
      <c r="B3" s="139" t="s">
        <v>80</v>
      </c>
      <c r="C3" s="139" t="s">
        <v>81</v>
      </c>
      <c r="D3" s="139" t="s">
        <v>733</v>
      </c>
      <c r="E3" s="139" t="s">
        <v>729</v>
      </c>
      <c r="F3" s="47" t="s">
        <v>734</v>
      </c>
      <c r="G3" s="487"/>
    </row>
    <row r="4" spans="1:7" s="48" customFormat="1" ht="12" customHeight="1" thickBot="1" x14ac:dyDescent="0.25">
      <c r="A4" s="473">
        <v>1</v>
      </c>
      <c r="B4" s="474">
        <v>2</v>
      </c>
      <c r="C4" s="474">
        <v>3</v>
      </c>
      <c r="D4" s="474">
        <v>4</v>
      </c>
      <c r="E4" s="474">
        <v>5</v>
      </c>
      <c r="F4" s="221" t="s">
        <v>99</v>
      </c>
    </row>
    <row r="5" spans="1:7" s="702" customFormat="1" ht="15.95" customHeight="1" x14ac:dyDescent="0.2">
      <c r="A5" s="923" t="s">
        <v>769</v>
      </c>
      <c r="B5" s="924">
        <v>359410</v>
      </c>
      <c r="C5" s="851" t="s">
        <v>791</v>
      </c>
      <c r="D5" s="472"/>
      <c r="E5" s="472">
        <v>359410</v>
      </c>
      <c r="F5" s="701">
        <f t="shared" ref="F5:F67" si="0">B5-D5-E5</f>
        <v>0</v>
      </c>
    </row>
    <row r="6" spans="1:7" s="715" customFormat="1" ht="15.95" customHeight="1" x14ac:dyDescent="0.2">
      <c r="A6" s="925" t="s">
        <v>788</v>
      </c>
      <c r="B6" s="926">
        <v>2345001</v>
      </c>
      <c r="C6" s="561" t="s">
        <v>791</v>
      </c>
      <c r="D6" s="418"/>
      <c r="E6" s="418">
        <v>2345001</v>
      </c>
      <c r="F6" s="705">
        <f t="shared" si="0"/>
        <v>0</v>
      </c>
    </row>
    <row r="7" spans="1:7" s="702" customFormat="1" ht="15.95" customHeight="1" x14ac:dyDescent="0.2">
      <c r="A7" s="927" t="s">
        <v>770</v>
      </c>
      <c r="B7" s="935">
        <v>4117750</v>
      </c>
      <c r="C7" s="561" t="s">
        <v>849</v>
      </c>
      <c r="D7" s="704"/>
      <c r="E7" s="418">
        <v>4117750</v>
      </c>
      <c r="F7" s="705">
        <f t="shared" si="0"/>
        <v>0</v>
      </c>
    </row>
    <row r="8" spans="1:7" s="702" customFormat="1" ht="15.95" customHeight="1" x14ac:dyDescent="0.2">
      <c r="A8" s="675" t="s">
        <v>771</v>
      </c>
      <c r="B8" s="935">
        <v>214128351</v>
      </c>
      <c r="C8" s="561" t="s">
        <v>849</v>
      </c>
      <c r="D8" s="418"/>
      <c r="E8" s="418">
        <v>214128351</v>
      </c>
      <c r="F8" s="703">
        <f t="shared" si="0"/>
        <v>0</v>
      </c>
    </row>
    <row r="9" spans="1:7" s="707" customFormat="1" ht="25.5" customHeight="1" x14ac:dyDescent="0.2">
      <c r="A9" s="927" t="s">
        <v>772</v>
      </c>
      <c r="B9" s="926">
        <v>762000</v>
      </c>
      <c r="C9" s="561" t="s">
        <v>791</v>
      </c>
      <c r="D9" s="418"/>
      <c r="E9" s="418">
        <v>762000</v>
      </c>
      <c r="F9" s="706">
        <f t="shared" si="0"/>
        <v>0</v>
      </c>
    </row>
    <row r="10" spans="1:7" s="702" customFormat="1" ht="15.95" customHeight="1" x14ac:dyDescent="0.2">
      <c r="A10" s="852" t="s">
        <v>773</v>
      </c>
      <c r="B10" s="926">
        <v>12873483</v>
      </c>
      <c r="C10" s="561" t="s">
        <v>849</v>
      </c>
      <c r="D10" s="385"/>
      <c r="E10" s="385">
        <v>12873483</v>
      </c>
      <c r="F10" s="703">
        <f t="shared" si="0"/>
        <v>0</v>
      </c>
    </row>
    <row r="11" spans="1:7" s="702" customFormat="1" ht="18.75" customHeight="1" x14ac:dyDescent="0.2">
      <c r="A11" s="925" t="s">
        <v>774</v>
      </c>
      <c r="B11" s="926">
        <v>381000</v>
      </c>
      <c r="C11" s="561" t="s">
        <v>791</v>
      </c>
      <c r="D11" s="704"/>
      <c r="E11" s="418">
        <v>381000</v>
      </c>
      <c r="F11" s="705">
        <f t="shared" si="0"/>
        <v>0</v>
      </c>
    </row>
    <row r="12" spans="1:7" s="702" customFormat="1" ht="15.95" customHeight="1" x14ac:dyDescent="0.2">
      <c r="A12" s="928" t="s">
        <v>775</v>
      </c>
      <c r="B12" s="929">
        <v>1500000</v>
      </c>
      <c r="C12" s="561" t="s">
        <v>791</v>
      </c>
      <c r="D12" s="853"/>
      <c r="E12" s="771">
        <v>1500000</v>
      </c>
      <c r="F12" s="703">
        <f t="shared" si="0"/>
        <v>0</v>
      </c>
    </row>
    <row r="13" spans="1:7" s="702" customFormat="1" ht="15.95" customHeight="1" x14ac:dyDescent="0.2">
      <c r="A13" s="928" t="s">
        <v>789</v>
      </c>
      <c r="B13" s="929">
        <v>2740000</v>
      </c>
      <c r="C13" s="561" t="s">
        <v>791</v>
      </c>
      <c r="D13" s="771"/>
      <c r="E13" s="771">
        <v>2740000</v>
      </c>
      <c r="F13" s="703">
        <f t="shared" si="0"/>
        <v>0</v>
      </c>
    </row>
    <row r="14" spans="1:7" s="702" customFormat="1" ht="15.95" customHeight="1" x14ac:dyDescent="0.2">
      <c r="A14" s="927" t="s">
        <v>776</v>
      </c>
      <c r="B14" s="929">
        <v>374185</v>
      </c>
      <c r="C14" s="561" t="s">
        <v>791</v>
      </c>
      <c r="D14" s="771"/>
      <c r="E14" s="771">
        <v>374185</v>
      </c>
      <c r="F14" s="703">
        <f t="shared" si="0"/>
        <v>0</v>
      </c>
    </row>
    <row r="15" spans="1:7" s="702" customFormat="1" ht="15.95" customHeight="1" x14ac:dyDescent="0.2">
      <c r="A15" s="925" t="s">
        <v>777</v>
      </c>
      <c r="B15" s="926">
        <v>25400</v>
      </c>
      <c r="C15" s="561" t="s">
        <v>791</v>
      </c>
      <c r="D15" s="704"/>
      <c r="E15" s="418">
        <v>25400</v>
      </c>
      <c r="F15" s="705">
        <f t="shared" si="0"/>
        <v>0</v>
      </c>
    </row>
    <row r="16" spans="1:7" s="702" customFormat="1" ht="15.95" customHeight="1" x14ac:dyDescent="0.2">
      <c r="A16" s="930" t="s">
        <v>778</v>
      </c>
      <c r="B16" s="929">
        <v>254000</v>
      </c>
      <c r="C16" s="561" t="s">
        <v>791</v>
      </c>
      <c r="D16" s="709"/>
      <c r="E16" s="418">
        <v>254000</v>
      </c>
      <c r="F16" s="710">
        <f t="shared" si="0"/>
        <v>0</v>
      </c>
    </row>
    <row r="17" spans="1:6" s="702" customFormat="1" ht="15.95" customHeight="1" x14ac:dyDescent="0.2">
      <c r="A17" s="930" t="s">
        <v>779</v>
      </c>
      <c r="B17" s="936">
        <f>75588869-1863013-14128085-879687</f>
        <v>58718084</v>
      </c>
      <c r="C17" s="561" t="s">
        <v>849</v>
      </c>
      <c r="D17" s="771">
        <f>25930681-472408</f>
        <v>25458273</v>
      </c>
      <c r="E17" s="771">
        <v>33259811</v>
      </c>
      <c r="F17" s="708">
        <f t="shared" si="0"/>
        <v>0</v>
      </c>
    </row>
    <row r="18" spans="1:6" s="707" customFormat="1" ht="15.75" customHeight="1" x14ac:dyDescent="0.2">
      <c r="A18" s="930" t="s">
        <v>780</v>
      </c>
      <c r="B18" s="931">
        <v>381000</v>
      </c>
      <c r="C18" s="561" t="s">
        <v>791</v>
      </c>
      <c r="D18" s="771"/>
      <c r="E18" s="771">
        <v>381000</v>
      </c>
      <c r="F18" s="703">
        <f t="shared" si="0"/>
        <v>0</v>
      </c>
    </row>
    <row r="19" spans="1:6" s="707" customFormat="1" ht="15.75" customHeight="1" x14ac:dyDescent="0.2">
      <c r="A19" s="930" t="s">
        <v>781</v>
      </c>
      <c r="B19" s="931">
        <v>377190</v>
      </c>
      <c r="C19" s="561" t="s">
        <v>791</v>
      </c>
      <c r="D19" s="709"/>
      <c r="E19" s="418">
        <v>377190</v>
      </c>
      <c r="F19" s="937">
        <f t="shared" si="0"/>
        <v>0</v>
      </c>
    </row>
    <row r="20" spans="1:6" s="702" customFormat="1" ht="15.75" customHeight="1" x14ac:dyDescent="0.2">
      <c r="A20" s="930" t="s">
        <v>782</v>
      </c>
      <c r="B20" s="931">
        <v>2338070</v>
      </c>
      <c r="C20" s="561" t="s">
        <v>791</v>
      </c>
      <c r="D20" s="709"/>
      <c r="E20" s="418">
        <v>2338070</v>
      </c>
      <c r="F20" s="937">
        <f t="shared" si="0"/>
        <v>0</v>
      </c>
    </row>
    <row r="21" spans="1:6" s="702" customFormat="1" ht="15.75" customHeight="1" x14ac:dyDescent="0.2">
      <c r="A21" s="930" t="s">
        <v>783</v>
      </c>
      <c r="B21" s="931">
        <v>4950460</v>
      </c>
      <c r="C21" s="561" t="s">
        <v>791</v>
      </c>
      <c r="D21" s="771"/>
      <c r="E21" s="771">
        <v>4950460</v>
      </c>
      <c r="F21" s="703">
        <f t="shared" si="0"/>
        <v>0</v>
      </c>
    </row>
    <row r="22" spans="1:6" s="707" customFormat="1" ht="15.75" customHeight="1" x14ac:dyDescent="0.2">
      <c r="A22" s="934" t="s">
        <v>672</v>
      </c>
      <c r="B22" s="929"/>
      <c r="C22" s="561"/>
      <c r="D22" s="771"/>
      <c r="E22" s="771"/>
      <c r="F22" s="708">
        <f t="shared" si="0"/>
        <v>0</v>
      </c>
    </row>
    <row r="23" spans="1:6" s="702" customFormat="1" ht="15.75" customHeight="1" x14ac:dyDescent="0.2">
      <c r="A23" s="933" t="s">
        <v>784</v>
      </c>
      <c r="B23" s="929">
        <v>1153160</v>
      </c>
      <c r="C23" s="561" t="s">
        <v>791</v>
      </c>
      <c r="D23" s="771"/>
      <c r="E23" s="771">
        <v>1153160</v>
      </c>
      <c r="F23" s="703">
        <f t="shared" si="0"/>
        <v>0</v>
      </c>
    </row>
    <row r="24" spans="1:6" s="702" customFormat="1" ht="15.75" customHeight="1" x14ac:dyDescent="0.2">
      <c r="A24" s="933" t="s">
        <v>785</v>
      </c>
      <c r="B24" s="932">
        <v>840740</v>
      </c>
      <c r="C24" s="561" t="s">
        <v>791</v>
      </c>
      <c r="D24" s="771"/>
      <c r="E24" s="771">
        <v>840740</v>
      </c>
      <c r="F24" s="711">
        <f t="shared" si="0"/>
        <v>0</v>
      </c>
    </row>
    <row r="25" spans="1:6" s="707" customFormat="1" ht="15.75" customHeight="1" x14ac:dyDescent="0.2">
      <c r="A25" s="933" t="s">
        <v>786</v>
      </c>
      <c r="B25" s="932">
        <v>2000250</v>
      </c>
      <c r="C25" s="561" t="s">
        <v>791</v>
      </c>
      <c r="D25" s="771"/>
      <c r="E25" s="771">
        <v>2000250</v>
      </c>
      <c r="F25" s="711">
        <f t="shared" si="0"/>
        <v>0</v>
      </c>
    </row>
    <row r="26" spans="1:6" s="702" customFormat="1" ht="15.75" customHeight="1" thickBot="1" x14ac:dyDescent="0.25">
      <c r="A26" s="933" t="s">
        <v>787</v>
      </c>
      <c r="B26" s="932">
        <v>925830</v>
      </c>
      <c r="C26" s="561" t="s">
        <v>791</v>
      </c>
      <c r="D26" s="771"/>
      <c r="E26" s="771">
        <v>925830</v>
      </c>
      <c r="F26" s="711">
        <f t="shared" si="0"/>
        <v>0</v>
      </c>
    </row>
    <row r="27" spans="1:6" s="707" customFormat="1" ht="15.75" customHeight="1" x14ac:dyDescent="0.2">
      <c r="A27" s="957" t="s">
        <v>645</v>
      </c>
      <c r="B27" s="958"/>
      <c r="C27" s="959"/>
      <c r="D27" s="960"/>
      <c r="E27" s="960"/>
      <c r="F27" s="961">
        <f t="shared" si="0"/>
        <v>0</v>
      </c>
    </row>
    <row r="28" spans="1:6" s="702" customFormat="1" ht="15.75" customHeight="1" x14ac:dyDescent="0.2">
      <c r="A28" s="962" t="s">
        <v>790</v>
      </c>
      <c r="B28" s="963">
        <v>300000</v>
      </c>
      <c r="C28" s="964" t="s">
        <v>791</v>
      </c>
      <c r="D28" s="965"/>
      <c r="E28" s="965">
        <v>300000</v>
      </c>
      <c r="F28" s="705">
        <f t="shared" si="0"/>
        <v>0</v>
      </c>
    </row>
    <row r="29" spans="1:6" s="707" customFormat="1" ht="15.75" customHeight="1" x14ac:dyDescent="0.2">
      <c r="A29" s="966" t="s">
        <v>792</v>
      </c>
      <c r="B29" s="967">
        <v>350000</v>
      </c>
      <c r="C29" s="968" t="s">
        <v>791</v>
      </c>
      <c r="D29" s="969"/>
      <c r="E29" s="969">
        <v>350000</v>
      </c>
      <c r="F29" s="705">
        <f t="shared" si="0"/>
        <v>0</v>
      </c>
    </row>
    <row r="30" spans="1:6" s="702" customFormat="1" ht="15.75" customHeight="1" x14ac:dyDescent="0.2">
      <c r="A30" s="970" t="s">
        <v>793</v>
      </c>
      <c r="B30" s="971">
        <v>150000</v>
      </c>
      <c r="C30" s="972" t="s">
        <v>791</v>
      </c>
      <c r="D30" s="973"/>
      <c r="E30" s="973">
        <v>150000</v>
      </c>
      <c r="F30" s="705">
        <f t="shared" si="0"/>
        <v>0</v>
      </c>
    </row>
    <row r="31" spans="1:6" s="707" customFormat="1" ht="15.75" customHeight="1" x14ac:dyDescent="0.2">
      <c r="A31" s="974" t="s">
        <v>794</v>
      </c>
      <c r="B31" s="963">
        <v>100000</v>
      </c>
      <c r="C31" s="972" t="s">
        <v>791</v>
      </c>
      <c r="D31" s="965"/>
      <c r="E31" s="965">
        <v>100000</v>
      </c>
      <c r="F31" s="703">
        <f t="shared" si="0"/>
        <v>0</v>
      </c>
    </row>
    <row r="32" spans="1:6" s="707" customFormat="1" ht="15.75" customHeight="1" x14ac:dyDescent="0.2">
      <c r="A32" s="975" t="s">
        <v>795</v>
      </c>
      <c r="B32" s="963">
        <v>180000</v>
      </c>
      <c r="C32" s="964" t="s">
        <v>849</v>
      </c>
      <c r="D32" s="965">
        <v>0</v>
      </c>
      <c r="E32" s="965">
        <v>180000</v>
      </c>
      <c r="F32" s="706">
        <f t="shared" si="0"/>
        <v>0</v>
      </c>
    </row>
    <row r="33" spans="1:6" s="702" customFormat="1" ht="15.75" customHeight="1" x14ac:dyDescent="0.2">
      <c r="A33" s="976" t="s">
        <v>796</v>
      </c>
      <c r="B33" s="963">
        <v>149000</v>
      </c>
      <c r="C33" s="972" t="s">
        <v>791</v>
      </c>
      <c r="D33" s="965"/>
      <c r="E33" s="965">
        <v>149000</v>
      </c>
      <c r="F33" s="703">
        <f t="shared" si="0"/>
        <v>0</v>
      </c>
    </row>
    <row r="34" spans="1:6" s="702" customFormat="1" ht="15.75" customHeight="1" x14ac:dyDescent="0.2">
      <c r="A34" s="977" t="s">
        <v>472</v>
      </c>
      <c r="B34" s="963"/>
      <c r="C34" s="972"/>
      <c r="D34" s="965"/>
      <c r="E34" s="965"/>
      <c r="F34" s="705">
        <f t="shared" si="0"/>
        <v>0</v>
      </c>
    </row>
    <row r="35" spans="1:6" s="702" customFormat="1" ht="15.75" customHeight="1" x14ac:dyDescent="0.2">
      <c r="A35" s="978" t="s">
        <v>797</v>
      </c>
      <c r="B35" s="971">
        <v>1290385</v>
      </c>
      <c r="C35" s="972" t="s">
        <v>791</v>
      </c>
      <c r="D35" s="979"/>
      <c r="E35" s="973">
        <v>1290385</v>
      </c>
      <c r="F35" s="703">
        <f t="shared" si="0"/>
        <v>0</v>
      </c>
    </row>
    <row r="36" spans="1:6" s="712" customFormat="1" ht="15.75" customHeight="1" x14ac:dyDescent="0.2">
      <c r="A36" s="978" t="s">
        <v>798</v>
      </c>
      <c r="B36" s="971">
        <v>254000</v>
      </c>
      <c r="C36" s="972" t="s">
        <v>791</v>
      </c>
      <c r="D36" s="973"/>
      <c r="E36" s="973">
        <v>254000</v>
      </c>
      <c r="F36" s="703">
        <f t="shared" si="0"/>
        <v>0</v>
      </c>
    </row>
    <row r="37" spans="1:6" s="702" customFormat="1" ht="15.75" customHeight="1" x14ac:dyDescent="0.2">
      <c r="A37" s="978" t="s">
        <v>799</v>
      </c>
      <c r="B37" s="971">
        <v>38100</v>
      </c>
      <c r="C37" s="972" t="s">
        <v>791</v>
      </c>
      <c r="D37" s="973"/>
      <c r="E37" s="973">
        <v>38100</v>
      </c>
      <c r="F37" s="703">
        <f t="shared" si="0"/>
        <v>0</v>
      </c>
    </row>
    <row r="38" spans="1:6" s="707" customFormat="1" ht="15.75" customHeight="1" x14ac:dyDescent="0.2">
      <c r="A38" s="975" t="s">
        <v>800</v>
      </c>
      <c r="B38" s="971">
        <v>89445</v>
      </c>
      <c r="C38" s="972" t="s">
        <v>791</v>
      </c>
      <c r="D38" s="973"/>
      <c r="E38" s="973">
        <v>89445</v>
      </c>
      <c r="F38" s="703">
        <f t="shared" si="0"/>
        <v>0</v>
      </c>
    </row>
    <row r="39" spans="1:6" s="702" customFormat="1" ht="18" customHeight="1" x14ac:dyDescent="0.2">
      <c r="A39" s="978" t="s">
        <v>801</v>
      </c>
      <c r="B39" s="971">
        <v>60000</v>
      </c>
      <c r="C39" s="972" t="s">
        <v>791</v>
      </c>
      <c r="D39" s="973"/>
      <c r="E39" s="973">
        <v>60000</v>
      </c>
      <c r="F39" s="705">
        <f t="shared" si="0"/>
        <v>0</v>
      </c>
    </row>
    <row r="40" spans="1:6" s="713" customFormat="1" ht="18.75" customHeight="1" x14ac:dyDescent="0.2">
      <c r="A40" s="980" t="s">
        <v>802</v>
      </c>
      <c r="B40" s="971">
        <v>234950</v>
      </c>
      <c r="C40" s="972" t="s">
        <v>791</v>
      </c>
      <c r="D40" s="973"/>
      <c r="E40" s="973">
        <v>234950</v>
      </c>
      <c r="F40" s="710">
        <f t="shared" si="0"/>
        <v>0</v>
      </c>
    </row>
    <row r="41" spans="1:6" s="702" customFormat="1" ht="16.5" customHeight="1" x14ac:dyDescent="0.2">
      <c r="A41" s="981" t="s">
        <v>803</v>
      </c>
      <c r="B41" s="971">
        <v>190500</v>
      </c>
      <c r="C41" s="972" t="s">
        <v>791</v>
      </c>
      <c r="D41" s="973"/>
      <c r="E41" s="973">
        <v>190500</v>
      </c>
      <c r="F41" s="708">
        <f t="shared" si="0"/>
        <v>0</v>
      </c>
    </row>
    <row r="42" spans="1:6" s="702" customFormat="1" ht="16.5" customHeight="1" x14ac:dyDescent="0.2">
      <c r="A42" s="982" t="s">
        <v>804</v>
      </c>
      <c r="B42" s="971"/>
      <c r="C42" s="972"/>
      <c r="D42" s="973"/>
      <c r="E42" s="973"/>
      <c r="F42" s="703">
        <f t="shared" si="0"/>
        <v>0</v>
      </c>
    </row>
    <row r="43" spans="1:6" s="714" customFormat="1" ht="16.5" customHeight="1" x14ac:dyDescent="0.2">
      <c r="A43" s="981" t="s">
        <v>805</v>
      </c>
      <c r="B43" s="971">
        <v>300000</v>
      </c>
      <c r="C43" s="972" t="s">
        <v>791</v>
      </c>
      <c r="D43" s="973"/>
      <c r="E43" s="973">
        <v>300000</v>
      </c>
      <c r="F43" s="703">
        <f t="shared" si="0"/>
        <v>0</v>
      </c>
    </row>
    <row r="44" spans="1:6" s="715" customFormat="1" ht="22.5" customHeight="1" x14ac:dyDescent="0.2">
      <c r="A44" s="981" t="s">
        <v>806</v>
      </c>
      <c r="B44" s="971">
        <v>14500</v>
      </c>
      <c r="C44" s="972" t="s">
        <v>791</v>
      </c>
      <c r="D44" s="973"/>
      <c r="E44" s="973">
        <v>14500</v>
      </c>
      <c r="F44" s="703">
        <f t="shared" si="0"/>
        <v>0</v>
      </c>
    </row>
    <row r="45" spans="1:6" s="707" customFormat="1" ht="22.5" customHeight="1" x14ac:dyDescent="0.2">
      <c r="A45" s="981" t="s">
        <v>807</v>
      </c>
      <c r="B45" s="971">
        <v>500000</v>
      </c>
      <c r="C45" s="972" t="s">
        <v>791</v>
      </c>
      <c r="D45" s="973"/>
      <c r="E45" s="973">
        <v>500000</v>
      </c>
      <c r="F45" s="710">
        <f t="shared" si="0"/>
        <v>0</v>
      </c>
    </row>
    <row r="46" spans="1:6" s="707" customFormat="1" ht="22.5" customHeight="1" x14ac:dyDescent="0.2">
      <c r="A46" s="981" t="s">
        <v>808</v>
      </c>
      <c r="B46" s="971">
        <v>60000</v>
      </c>
      <c r="C46" s="972" t="s">
        <v>791</v>
      </c>
      <c r="D46" s="973"/>
      <c r="E46" s="973">
        <v>60000</v>
      </c>
      <c r="F46" s="710">
        <f t="shared" si="0"/>
        <v>0</v>
      </c>
    </row>
    <row r="47" spans="1:6" s="715" customFormat="1" ht="22.5" customHeight="1" x14ac:dyDescent="0.2">
      <c r="A47" s="981" t="s">
        <v>809</v>
      </c>
      <c r="B47" s="971">
        <v>35000</v>
      </c>
      <c r="C47" s="972" t="s">
        <v>791</v>
      </c>
      <c r="D47" s="973"/>
      <c r="E47" s="973">
        <v>35000</v>
      </c>
      <c r="F47" s="703">
        <f t="shared" si="0"/>
        <v>0</v>
      </c>
    </row>
    <row r="48" spans="1:6" s="715" customFormat="1" ht="22.5" customHeight="1" x14ac:dyDescent="0.2">
      <c r="A48" s="981" t="s">
        <v>810</v>
      </c>
      <c r="B48" s="971">
        <v>90000</v>
      </c>
      <c r="C48" s="972" t="s">
        <v>791</v>
      </c>
      <c r="D48" s="973"/>
      <c r="E48" s="973">
        <v>90000</v>
      </c>
      <c r="F48" s="703">
        <f t="shared" si="0"/>
        <v>0</v>
      </c>
    </row>
    <row r="49" spans="1:6" s="715" customFormat="1" ht="22.5" customHeight="1" x14ac:dyDescent="0.2">
      <c r="A49" s="981" t="s">
        <v>811</v>
      </c>
      <c r="B49" s="971">
        <v>30000</v>
      </c>
      <c r="C49" s="972" t="s">
        <v>791</v>
      </c>
      <c r="D49" s="973"/>
      <c r="E49" s="973">
        <v>30000</v>
      </c>
      <c r="F49" s="703">
        <f t="shared" si="0"/>
        <v>0</v>
      </c>
    </row>
    <row r="50" spans="1:6" s="715" customFormat="1" ht="22.5" customHeight="1" x14ac:dyDescent="0.2">
      <c r="A50" s="981" t="s">
        <v>812</v>
      </c>
      <c r="B50" s="971">
        <v>37000</v>
      </c>
      <c r="C50" s="972" t="s">
        <v>791</v>
      </c>
      <c r="D50" s="973"/>
      <c r="E50" s="973">
        <v>37000</v>
      </c>
      <c r="F50" s="710">
        <f t="shared" si="0"/>
        <v>0</v>
      </c>
    </row>
    <row r="51" spans="1:6" s="702" customFormat="1" ht="21" customHeight="1" x14ac:dyDescent="0.2">
      <c r="A51" s="983" t="s">
        <v>813</v>
      </c>
      <c r="B51" s="971">
        <v>1612204</v>
      </c>
      <c r="C51" s="972" t="s">
        <v>791</v>
      </c>
      <c r="D51" s="973"/>
      <c r="E51" s="973">
        <v>1612204</v>
      </c>
      <c r="F51" s="703">
        <f t="shared" si="0"/>
        <v>0</v>
      </c>
    </row>
    <row r="52" spans="1:6" s="707" customFormat="1" ht="21" customHeight="1" x14ac:dyDescent="0.2">
      <c r="A52" s="984" t="s">
        <v>814</v>
      </c>
      <c r="B52" s="769"/>
      <c r="C52" s="770"/>
      <c r="D52" s="771"/>
      <c r="E52" s="771"/>
      <c r="F52" s="710">
        <f t="shared" si="0"/>
        <v>0</v>
      </c>
    </row>
    <row r="53" spans="1:6" s="707" customFormat="1" ht="21" customHeight="1" x14ac:dyDescent="0.2">
      <c r="A53" s="985" t="s">
        <v>815</v>
      </c>
      <c r="B53" s="769"/>
      <c r="C53" s="770"/>
      <c r="D53" s="771"/>
      <c r="E53" s="771"/>
      <c r="F53" s="708">
        <f t="shared" si="0"/>
        <v>0</v>
      </c>
    </row>
    <row r="54" spans="1:6" s="707" customFormat="1" ht="21" customHeight="1" x14ac:dyDescent="0.2">
      <c r="A54" s="986" t="s">
        <v>816</v>
      </c>
      <c r="B54" s="987">
        <v>380000</v>
      </c>
      <c r="C54" s="902" t="s">
        <v>791</v>
      </c>
      <c r="D54" s="771"/>
      <c r="E54" s="988">
        <v>380000</v>
      </c>
      <c r="F54" s="703">
        <f t="shared" si="0"/>
        <v>0</v>
      </c>
    </row>
    <row r="55" spans="1:6" s="707" customFormat="1" x14ac:dyDescent="0.2">
      <c r="A55" s="989" t="s">
        <v>817</v>
      </c>
      <c r="B55" s="987">
        <v>40000</v>
      </c>
      <c r="C55" s="902" t="s">
        <v>791</v>
      </c>
      <c r="D55" s="771"/>
      <c r="E55" s="988">
        <v>40000</v>
      </c>
      <c r="F55" s="703">
        <f t="shared" si="0"/>
        <v>0</v>
      </c>
    </row>
    <row r="56" spans="1:6" s="707" customFormat="1" x14ac:dyDescent="0.2">
      <c r="A56" s="989" t="s">
        <v>818</v>
      </c>
      <c r="B56" s="987">
        <v>5000</v>
      </c>
      <c r="C56" s="902" t="s">
        <v>791</v>
      </c>
      <c r="D56" s="771"/>
      <c r="E56" s="988">
        <v>5000</v>
      </c>
      <c r="F56" s="703">
        <f t="shared" si="0"/>
        <v>0</v>
      </c>
    </row>
    <row r="57" spans="1:6" s="707" customFormat="1" x14ac:dyDescent="0.2">
      <c r="A57" s="985" t="s">
        <v>819</v>
      </c>
      <c r="B57" s="987"/>
      <c r="C57" s="902"/>
      <c r="D57" s="771"/>
      <c r="E57" s="988"/>
      <c r="F57" s="703">
        <f t="shared" si="0"/>
        <v>0</v>
      </c>
    </row>
    <row r="58" spans="1:6" s="707" customFormat="1" x14ac:dyDescent="0.2">
      <c r="A58" s="989" t="s">
        <v>820</v>
      </c>
      <c r="B58" s="987">
        <v>80000</v>
      </c>
      <c r="C58" s="902" t="s">
        <v>791</v>
      </c>
      <c r="D58" s="771"/>
      <c r="E58" s="988">
        <v>80000</v>
      </c>
      <c r="F58" s="703"/>
    </row>
    <row r="59" spans="1:6" s="715" customFormat="1" x14ac:dyDescent="0.2">
      <c r="A59" s="989" t="s">
        <v>821</v>
      </c>
      <c r="B59" s="987">
        <v>140000</v>
      </c>
      <c r="C59" s="902" t="s">
        <v>791</v>
      </c>
      <c r="D59" s="771"/>
      <c r="E59" s="988">
        <v>140000</v>
      </c>
      <c r="F59" s="703"/>
    </row>
    <row r="60" spans="1:6" s="702" customFormat="1" ht="21" customHeight="1" x14ac:dyDescent="0.2">
      <c r="A60" s="989" t="s">
        <v>822</v>
      </c>
      <c r="B60" s="987">
        <v>70000</v>
      </c>
      <c r="C60" s="902" t="s">
        <v>791</v>
      </c>
      <c r="D60" s="771"/>
      <c r="E60" s="988">
        <v>70000</v>
      </c>
      <c r="F60" s="703">
        <f t="shared" si="0"/>
        <v>0</v>
      </c>
    </row>
    <row r="61" spans="1:6" s="715" customFormat="1" ht="19.5" customHeight="1" x14ac:dyDescent="0.2">
      <c r="A61" s="989" t="s">
        <v>823</v>
      </c>
      <c r="B61" s="987">
        <v>120000</v>
      </c>
      <c r="C61" s="902" t="s">
        <v>791</v>
      </c>
      <c r="D61" s="771"/>
      <c r="E61" s="988">
        <v>120000</v>
      </c>
      <c r="F61" s="703">
        <f t="shared" si="0"/>
        <v>0</v>
      </c>
    </row>
    <row r="62" spans="1:6" s="715" customFormat="1" ht="19.5" customHeight="1" x14ac:dyDescent="0.2">
      <c r="A62" s="985" t="s">
        <v>824</v>
      </c>
      <c r="B62" s="769"/>
      <c r="C62" s="770"/>
      <c r="D62" s="771"/>
      <c r="E62" s="771"/>
      <c r="F62" s="703">
        <f t="shared" si="0"/>
        <v>0</v>
      </c>
    </row>
    <row r="63" spans="1:6" s="715" customFormat="1" ht="19.5" customHeight="1" x14ac:dyDescent="0.2">
      <c r="A63" s="989" t="s">
        <v>823</v>
      </c>
      <c r="B63" s="990">
        <v>100000</v>
      </c>
      <c r="C63" s="902" t="s">
        <v>791</v>
      </c>
      <c r="D63" s="991"/>
      <c r="E63" s="991">
        <v>100000</v>
      </c>
      <c r="F63" s="992">
        <f t="shared" si="0"/>
        <v>0</v>
      </c>
    </row>
    <row r="64" spans="1:6" s="715" customFormat="1" ht="19.5" customHeight="1" x14ac:dyDescent="0.2">
      <c r="A64" s="989" t="s">
        <v>825</v>
      </c>
      <c r="B64" s="990">
        <v>33000</v>
      </c>
      <c r="C64" s="902" t="s">
        <v>791</v>
      </c>
      <c r="D64" s="991"/>
      <c r="E64" s="991">
        <v>33000</v>
      </c>
      <c r="F64" s="992">
        <f t="shared" si="0"/>
        <v>0</v>
      </c>
    </row>
    <row r="65" spans="1:6" s="715" customFormat="1" ht="19.5" customHeight="1" x14ac:dyDescent="0.2">
      <c r="A65" s="993" t="s">
        <v>826</v>
      </c>
      <c r="B65" s="990">
        <v>2072918</v>
      </c>
      <c r="C65" s="902" t="s">
        <v>791</v>
      </c>
      <c r="D65" s="991"/>
      <c r="E65" s="991">
        <v>2072918</v>
      </c>
      <c r="F65" s="992">
        <f t="shared" si="0"/>
        <v>0</v>
      </c>
    </row>
    <row r="66" spans="1:6" s="50" customFormat="1" ht="18" customHeight="1" x14ac:dyDescent="0.2">
      <c r="A66" s="993" t="s">
        <v>827</v>
      </c>
      <c r="B66" s="990">
        <v>30000</v>
      </c>
      <c r="C66" s="902" t="s">
        <v>791</v>
      </c>
      <c r="D66" s="991"/>
      <c r="E66" s="991">
        <v>30000</v>
      </c>
      <c r="F66" s="992">
        <f t="shared" si="0"/>
        <v>0</v>
      </c>
    </row>
    <row r="67" spans="1:6" x14ac:dyDescent="0.2">
      <c r="A67" s="993" t="s">
        <v>828</v>
      </c>
      <c r="B67" s="990">
        <v>29000</v>
      </c>
      <c r="C67" s="902" t="s">
        <v>791</v>
      </c>
      <c r="D67" s="991"/>
      <c r="E67" s="991">
        <v>29000</v>
      </c>
      <c r="F67" s="992">
        <f t="shared" si="0"/>
        <v>0</v>
      </c>
    </row>
    <row r="68" spans="1:6" x14ac:dyDescent="0.2">
      <c r="A68" s="993" t="s">
        <v>829</v>
      </c>
      <c r="B68" s="990">
        <v>5000000</v>
      </c>
      <c r="C68" s="902" t="s">
        <v>791</v>
      </c>
      <c r="D68" s="991"/>
      <c r="E68" s="991">
        <v>5000000</v>
      </c>
      <c r="F68" s="992">
        <f t="shared" ref="F68:F69" si="1">B68-D68-E68</f>
        <v>0</v>
      </c>
    </row>
    <row r="69" spans="1:6" ht="25.5" x14ac:dyDescent="0.2">
      <c r="A69" s="994" t="s">
        <v>830</v>
      </c>
      <c r="B69" s="990">
        <v>102700</v>
      </c>
      <c r="C69" s="902" t="s">
        <v>791</v>
      </c>
      <c r="D69" s="991"/>
      <c r="E69" s="991">
        <v>102700</v>
      </c>
      <c r="F69" s="992">
        <f t="shared" si="1"/>
        <v>0</v>
      </c>
    </row>
    <row r="70" spans="1:6" x14ac:dyDescent="0.2">
      <c r="A70" s="993" t="s">
        <v>831</v>
      </c>
      <c r="B70" s="987">
        <v>120000</v>
      </c>
      <c r="C70" s="968" t="s">
        <v>791</v>
      </c>
      <c r="D70" s="995"/>
      <c r="E70" s="988">
        <v>120000</v>
      </c>
      <c r="F70" s="996"/>
    </row>
    <row r="71" spans="1:6" x14ac:dyDescent="0.2">
      <c r="A71" s="993" t="s">
        <v>832</v>
      </c>
      <c r="B71" s="987">
        <v>10000</v>
      </c>
      <c r="C71" s="902" t="s">
        <v>791</v>
      </c>
      <c r="D71" s="991"/>
      <c r="E71" s="988">
        <v>10000</v>
      </c>
      <c r="F71" s="992"/>
    </row>
    <row r="72" spans="1:6" x14ac:dyDescent="0.2">
      <c r="A72" s="993" t="s">
        <v>833</v>
      </c>
      <c r="B72" s="987">
        <v>850000</v>
      </c>
      <c r="C72" s="902" t="s">
        <v>791</v>
      </c>
      <c r="D72" s="991"/>
      <c r="E72" s="988">
        <v>850000</v>
      </c>
      <c r="F72" s="992"/>
    </row>
    <row r="73" spans="1:6" x14ac:dyDescent="0.2">
      <c r="A73" s="993" t="s">
        <v>834</v>
      </c>
      <c r="B73" s="987">
        <v>1016000</v>
      </c>
      <c r="C73" s="902" t="s">
        <v>791</v>
      </c>
      <c r="D73" s="991"/>
      <c r="E73" s="988">
        <v>1016000</v>
      </c>
      <c r="F73" s="992">
        <f t="shared" ref="F73:F78" si="2">B73-D73-E73</f>
        <v>0</v>
      </c>
    </row>
    <row r="74" spans="1:6" ht="15" x14ac:dyDescent="0.2">
      <c r="A74" s="997" t="s">
        <v>835</v>
      </c>
      <c r="B74" s="990">
        <v>2500000</v>
      </c>
      <c r="C74" s="902" t="s">
        <v>791</v>
      </c>
      <c r="D74" s="991"/>
      <c r="E74" s="991">
        <v>2500000</v>
      </c>
      <c r="F74" s="998"/>
    </row>
    <row r="75" spans="1:6" x14ac:dyDescent="0.2">
      <c r="A75" s="999" t="s">
        <v>646</v>
      </c>
      <c r="B75" s="990"/>
      <c r="C75" s="902"/>
      <c r="D75" s="991"/>
      <c r="E75" s="991"/>
      <c r="F75" s="992">
        <f t="shared" si="2"/>
        <v>0</v>
      </c>
    </row>
    <row r="76" spans="1:6" x14ac:dyDescent="0.2">
      <c r="A76" s="1000" t="s">
        <v>836</v>
      </c>
      <c r="B76" s="967">
        <v>54610</v>
      </c>
      <c r="C76" s="968" t="s">
        <v>791</v>
      </c>
      <c r="D76" s="969"/>
      <c r="E76" s="969">
        <v>54610</v>
      </c>
      <c r="F76" s="706"/>
    </row>
    <row r="77" spans="1:6" x14ac:dyDescent="0.2">
      <c r="A77" s="1000" t="s">
        <v>837</v>
      </c>
      <c r="B77" s="967">
        <v>76200</v>
      </c>
      <c r="C77" s="968" t="s">
        <v>791</v>
      </c>
      <c r="D77" s="969"/>
      <c r="E77" s="969">
        <v>76200</v>
      </c>
      <c r="F77" s="705"/>
    </row>
    <row r="78" spans="1:6" ht="13.5" thickBot="1" x14ac:dyDescent="0.25">
      <c r="A78" s="1001" t="s">
        <v>838</v>
      </c>
      <c r="B78" s="967">
        <v>1500000</v>
      </c>
      <c r="C78" s="968" t="s">
        <v>791</v>
      </c>
      <c r="D78" s="969"/>
      <c r="E78" s="969">
        <v>1500000</v>
      </c>
      <c r="F78" s="710">
        <f t="shared" si="2"/>
        <v>0</v>
      </c>
    </row>
    <row r="79" spans="1:6" ht="13.5" thickBot="1" x14ac:dyDescent="0.25">
      <c r="A79" s="1002" t="s">
        <v>78</v>
      </c>
      <c r="B79" s="1004">
        <f>SUM(B5:B78)</f>
        <v>331939876</v>
      </c>
      <c r="C79" s="1003"/>
      <c r="D79" s="549">
        <f>SUM(D5:D78)</f>
        <v>25458273</v>
      </c>
      <c r="E79" s="549">
        <f t="shared" ref="E79:F79" si="3">SUM(E5:E78)</f>
        <v>306481603</v>
      </c>
      <c r="F79" s="549">
        <f t="shared" si="3"/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51" orientation="portrait" verticalDpi="300" r:id="rId1"/>
  <headerFooter alignWithMargins="0">
    <oddHeader>&amp;R&amp;"Times New Roman CE,Félkövér dőlt"&amp;11 6. melléklet a ../......(......)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2"/>
  <sheetViews>
    <sheetView view="pageLayout" zoomScaleNormal="100" workbookViewId="0">
      <selection activeCell="C31" sqref="C31"/>
    </sheetView>
  </sheetViews>
  <sheetFormatPr defaultRowHeight="12.75" x14ac:dyDescent="0.2"/>
  <cols>
    <col min="1" max="1" width="60.6640625" style="39" customWidth="1"/>
    <col min="2" max="2" width="15.6640625" style="38" customWidth="1"/>
    <col min="3" max="3" width="16.33203125" style="38" customWidth="1"/>
    <col min="4" max="4" width="18" style="38" customWidth="1"/>
    <col min="5" max="5" width="16.6640625" style="38" customWidth="1"/>
    <col min="6" max="6" width="18.83203125" style="38" customWidth="1"/>
    <col min="7" max="8" width="12.83203125" style="38" customWidth="1"/>
    <col min="9" max="9" width="13.83203125" style="38" customWidth="1"/>
    <col min="10" max="16384" width="9.33203125" style="38"/>
  </cols>
  <sheetData>
    <row r="1" spans="1:7" ht="24.75" customHeight="1" x14ac:dyDescent="0.2">
      <c r="A1" s="1193" t="s">
        <v>14</v>
      </c>
      <c r="B1" s="1193"/>
      <c r="C1" s="1193"/>
      <c r="D1" s="1193"/>
      <c r="E1" s="1193"/>
      <c r="F1" s="1193"/>
    </row>
    <row r="2" spans="1:7" ht="23.25" customHeight="1" thickBot="1" x14ac:dyDescent="0.3">
      <c r="A2" s="137"/>
      <c r="B2" s="48"/>
      <c r="C2" s="48"/>
      <c r="D2" s="48"/>
      <c r="E2" s="48"/>
      <c r="F2" s="46" t="s">
        <v>693</v>
      </c>
    </row>
    <row r="3" spans="1:7" s="41" customFormat="1" ht="48.75" customHeight="1" thickBot="1" x14ac:dyDescent="0.25">
      <c r="A3" s="138" t="s">
        <v>82</v>
      </c>
      <c r="B3" s="139" t="s">
        <v>80</v>
      </c>
      <c r="C3" s="139" t="s">
        <v>81</v>
      </c>
      <c r="D3" s="139" t="s">
        <v>733</v>
      </c>
      <c r="E3" s="139" t="s">
        <v>729</v>
      </c>
      <c r="F3" s="47" t="s">
        <v>735</v>
      </c>
      <c r="G3" s="488"/>
    </row>
    <row r="4" spans="1:7" s="48" customFormat="1" ht="15" customHeight="1" thickBot="1" x14ac:dyDescent="0.25">
      <c r="A4" s="535">
        <v>1</v>
      </c>
      <c r="B4" s="536">
        <v>2</v>
      </c>
      <c r="C4" s="536">
        <v>3</v>
      </c>
      <c r="D4" s="536">
        <v>4</v>
      </c>
      <c r="E4" s="536">
        <v>5</v>
      </c>
      <c r="F4" s="537">
        <v>6</v>
      </c>
    </row>
    <row r="5" spans="1:7" ht="15.95" customHeight="1" x14ac:dyDescent="0.2">
      <c r="A5" s="917" t="s">
        <v>760</v>
      </c>
      <c r="B5" s="947">
        <f>146398020+1216660</f>
        <v>147614680</v>
      </c>
      <c r="C5" s="717" t="s">
        <v>849</v>
      </c>
      <c r="D5" s="716">
        <v>1216660</v>
      </c>
      <c r="E5" s="716">
        <v>146398020</v>
      </c>
      <c r="F5" s="677">
        <f t="shared" ref="F5:F31" si="0">B5-D5-E5</f>
        <v>0</v>
      </c>
    </row>
    <row r="6" spans="1:7" ht="15.95" customHeight="1" x14ac:dyDescent="0.2">
      <c r="A6" s="919" t="s">
        <v>761</v>
      </c>
      <c r="B6" s="918">
        <v>3201452</v>
      </c>
      <c r="C6" s="388" t="s">
        <v>791</v>
      </c>
      <c r="D6" s="385"/>
      <c r="E6" s="385">
        <v>3201452</v>
      </c>
      <c r="F6" s="678">
        <f t="shared" si="0"/>
        <v>0</v>
      </c>
    </row>
    <row r="7" spans="1:7" ht="15.95" customHeight="1" x14ac:dyDescent="0.2">
      <c r="A7" s="919" t="s">
        <v>768</v>
      </c>
      <c r="B7" s="918">
        <v>5819140</v>
      </c>
      <c r="C7" s="388" t="s">
        <v>791</v>
      </c>
      <c r="D7" s="385"/>
      <c r="E7" s="385">
        <v>5819140</v>
      </c>
      <c r="F7" s="678">
        <f t="shared" si="0"/>
        <v>0</v>
      </c>
    </row>
    <row r="8" spans="1:7" ht="15.95" customHeight="1" x14ac:dyDescent="0.2">
      <c r="A8" s="919" t="s">
        <v>762</v>
      </c>
      <c r="B8" s="918">
        <v>127000</v>
      </c>
      <c r="C8" s="388" t="s">
        <v>791</v>
      </c>
      <c r="D8" s="385"/>
      <c r="E8" s="418">
        <v>127000</v>
      </c>
      <c r="F8" s="678">
        <f t="shared" si="0"/>
        <v>0</v>
      </c>
    </row>
    <row r="9" spans="1:7" ht="15.95" customHeight="1" x14ac:dyDescent="0.2">
      <c r="A9" s="919" t="s">
        <v>763</v>
      </c>
      <c r="B9" s="918">
        <v>5080000</v>
      </c>
      <c r="C9" s="388" t="s">
        <v>791</v>
      </c>
      <c r="D9" s="385"/>
      <c r="E9" s="385">
        <v>5080000</v>
      </c>
      <c r="F9" s="678">
        <f t="shared" si="0"/>
        <v>0</v>
      </c>
    </row>
    <row r="10" spans="1:7" ht="15.95" customHeight="1" x14ac:dyDescent="0.2">
      <c r="A10" s="919" t="s">
        <v>764</v>
      </c>
      <c r="B10" s="918">
        <v>3725750</v>
      </c>
      <c r="C10" s="388" t="s">
        <v>791</v>
      </c>
      <c r="D10" s="385"/>
      <c r="E10" s="385">
        <v>3725750</v>
      </c>
      <c r="F10" s="678">
        <f t="shared" si="0"/>
        <v>0</v>
      </c>
    </row>
    <row r="11" spans="1:7" ht="15.95" customHeight="1" x14ac:dyDescent="0.2">
      <c r="A11" s="920" t="s">
        <v>765</v>
      </c>
      <c r="B11" s="921">
        <v>6350000</v>
      </c>
      <c r="C11" s="561" t="s">
        <v>791</v>
      </c>
      <c r="D11" s="418"/>
      <c r="E11" s="418">
        <v>6350000</v>
      </c>
      <c r="F11" s="678">
        <f t="shared" si="0"/>
        <v>0</v>
      </c>
    </row>
    <row r="12" spans="1:7" ht="15.95" customHeight="1" x14ac:dyDescent="0.2">
      <c r="A12" s="919" t="s">
        <v>766</v>
      </c>
      <c r="B12" s="918">
        <v>10000000</v>
      </c>
      <c r="C12" s="388" t="s">
        <v>791</v>
      </c>
      <c r="D12" s="385"/>
      <c r="E12" s="385">
        <v>10000000</v>
      </c>
      <c r="F12" s="678">
        <f t="shared" si="0"/>
        <v>0</v>
      </c>
    </row>
    <row r="13" spans="1:7" s="676" customFormat="1" ht="15.95" customHeight="1" thickBot="1" x14ac:dyDescent="0.25">
      <c r="A13" s="919" t="s">
        <v>767</v>
      </c>
      <c r="B13" s="922">
        <v>1500000</v>
      </c>
      <c r="C13" s="386" t="s">
        <v>791</v>
      </c>
      <c r="D13" s="387"/>
      <c r="E13" s="387">
        <v>1500000</v>
      </c>
      <c r="F13" s="678">
        <f t="shared" si="0"/>
        <v>0</v>
      </c>
    </row>
    <row r="14" spans="1:7" ht="15.95" customHeight="1" x14ac:dyDescent="0.2">
      <c r="A14" s="1006" t="s">
        <v>846</v>
      </c>
      <c r="B14" s="716">
        <v>609600</v>
      </c>
      <c r="C14" s="717" t="s">
        <v>791</v>
      </c>
      <c r="D14" s="716"/>
      <c r="E14" s="716">
        <v>609600</v>
      </c>
      <c r="F14" s="677">
        <f t="shared" si="0"/>
        <v>0</v>
      </c>
    </row>
    <row r="15" spans="1:7" ht="15.95" hidden="1" customHeight="1" x14ac:dyDescent="0.2">
      <c r="A15" s="679"/>
      <c r="B15" s="472"/>
      <c r="C15" s="538"/>
      <c r="D15" s="472"/>
      <c r="E15" s="472"/>
      <c r="F15" s="678">
        <f t="shared" si="0"/>
        <v>0</v>
      </c>
    </row>
    <row r="16" spans="1:7" ht="15.95" hidden="1" customHeight="1" x14ac:dyDescent="0.2">
      <c r="A16" s="854"/>
      <c r="B16" s="385"/>
      <c r="C16" s="388"/>
      <c r="D16" s="385"/>
      <c r="E16" s="385"/>
      <c r="F16" s="678">
        <f t="shared" si="0"/>
        <v>0</v>
      </c>
    </row>
    <row r="17" spans="1:6" ht="15.95" hidden="1" customHeight="1" x14ac:dyDescent="0.2">
      <c r="A17" s="855"/>
      <c r="B17" s="385"/>
      <c r="C17" s="388"/>
      <c r="D17" s="385"/>
      <c r="E17" s="385"/>
      <c r="F17" s="678">
        <f t="shared" si="0"/>
        <v>0</v>
      </c>
    </row>
    <row r="18" spans="1:6" ht="15.95" hidden="1" customHeight="1" x14ac:dyDescent="0.2">
      <c r="A18" s="485"/>
      <c r="B18" s="385"/>
      <c r="C18" s="388"/>
      <c r="D18" s="385"/>
      <c r="E18" s="385"/>
      <c r="F18" s="678">
        <f t="shared" si="0"/>
        <v>0</v>
      </c>
    </row>
    <row r="19" spans="1:6" ht="15.95" hidden="1" customHeight="1" x14ac:dyDescent="0.2">
      <c r="A19" s="485"/>
      <c r="B19" s="385"/>
      <c r="C19" s="388"/>
      <c r="D19" s="385"/>
      <c r="E19" s="385"/>
      <c r="F19" s="678">
        <f t="shared" si="0"/>
        <v>0</v>
      </c>
    </row>
    <row r="20" spans="1:6" ht="15.95" hidden="1" customHeight="1" x14ac:dyDescent="0.2">
      <c r="A20" s="485"/>
      <c r="B20" s="385"/>
      <c r="C20" s="388"/>
      <c r="D20" s="385"/>
      <c r="E20" s="385"/>
      <c r="F20" s="678">
        <f t="shared" si="0"/>
        <v>0</v>
      </c>
    </row>
    <row r="21" spans="1:6" ht="15.95" hidden="1" customHeight="1" x14ac:dyDescent="0.2">
      <c r="A21" s="485"/>
      <c r="B21" s="385"/>
      <c r="C21" s="388"/>
      <c r="D21" s="385"/>
      <c r="E21" s="385"/>
      <c r="F21" s="678">
        <f t="shared" si="0"/>
        <v>0</v>
      </c>
    </row>
    <row r="22" spans="1:6" ht="15.95" hidden="1" customHeight="1" x14ac:dyDescent="0.2">
      <c r="A22" s="485"/>
      <c r="B22" s="385"/>
      <c r="C22" s="388"/>
      <c r="D22" s="385"/>
      <c r="E22" s="385"/>
      <c r="F22" s="678">
        <f t="shared" si="0"/>
        <v>0</v>
      </c>
    </row>
    <row r="23" spans="1:6" ht="15.95" hidden="1" customHeight="1" x14ac:dyDescent="0.2">
      <c r="A23" s="486"/>
      <c r="B23" s="387"/>
      <c r="C23" s="386"/>
      <c r="D23" s="387"/>
      <c r="E23" s="387"/>
      <c r="F23" s="678">
        <f t="shared" si="0"/>
        <v>0</v>
      </c>
    </row>
    <row r="24" spans="1:6" ht="15.95" hidden="1" customHeight="1" x14ac:dyDescent="0.2">
      <c r="A24" s="486"/>
      <c r="B24" s="387"/>
      <c r="C24" s="386"/>
      <c r="D24" s="387"/>
      <c r="E24" s="387"/>
      <c r="F24" s="678">
        <f t="shared" si="0"/>
        <v>0</v>
      </c>
    </row>
    <row r="25" spans="1:6" ht="15.95" hidden="1" customHeight="1" x14ac:dyDescent="0.2">
      <c r="A25" s="486"/>
      <c r="B25" s="387"/>
      <c r="C25" s="386"/>
      <c r="D25" s="387"/>
      <c r="E25" s="387"/>
      <c r="F25" s="678">
        <f t="shared" si="0"/>
        <v>0</v>
      </c>
    </row>
    <row r="26" spans="1:6" ht="15.95" hidden="1" customHeight="1" x14ac:dyDescent="0.2">
      <c r="A26" s="486"/>
      <c r="B26" s="387"/>
      <c r="C26" s="386"/>
      <c r="D26" s="387"/>
      <c r="E26" s="387"/>
      <c r="F26" s="678">
        <f t="shared" si="0"/>
        <v>0</v>
      </c>
    </row>
    <row r="27" spans="1:6" ht="15.95" hidden="1" customHeight="1" thickBot="1" x14ac:dyDescent="0.25">
      <c r="A27" s="486"/>
      <c r="B27" s="387"/>
      <c r="C27" s="386"/>
      <c r="D27" s="387"/>
      <c r="E27" s="387"/>
      <c r="F27" s="678">
        <f t="shared" si="0"/>
        <v>0</v>
      </c>
    </row>
    <row r="28" spans="1:6" ht="15.95" customHeight="1" x14ac:dyDescent="0.2">
      <c r="A28" s="680"/>
      <c r="B28" s="681"/>
      <c r="C28" s="538"/>
      <c r="D28" s="681"/>
      <c r="E28" s="681"/>
      <c r="F28" s="678">
        <f t="shared" si="0"/>
        <v>0</v>
      </c>
    </row>
    <row r="29" spans="1:6" ht="15.95" customHeight="1" x14ac:dyDescent="0.2">
      <c r="A29" s="720"/>
      <c r="B29" s="721"/>
      <c r="C29" s="722"/>
      <c r="D29" s="721"/>
      <c r="E29" s="721"/>
      <c r="F29" s="678">
        <f t="shared" si="0"/>
        <v>0</v>
      </c>
    </row>
    <row r="30" spans="1:6" ht="15.95" customHeight="1" x14ac:dyDescent="0.2">
      <c r="A30" s="856"/>
      <c r="B30" s="718"/>
      <c r="C30" s="719"/>
      <c r="D30" s="718"/>
      <c r="E30" s="718"/>
      <c r="F30" s="857">
        <f t="shared" si="0"/>
        <v>0</v>
      </c>
    </row>
    <row r="31" spans="1:6" ht="15.95" customHeight="1" thickBot="1" x14ac:dyDescent="0.25">
      <c r="A31" s="858"/>
      <c r="B31" s="859"/>
      <c r="C31" s="860"/>
      <c r="D31" s="859"/>
      <c r="E31" s="859"/>
      <c r="F31" s="861">
        <f t="shared" si="0"/>
        <v>0</v>
      </c>
    </row>
    <row r="32" spans="1:6" s="50" customFormat="1" ht="18" customHeight="1" thickBot="1" x14ac:dyDescent="0.25">
      <c r="A32" s="140" t="s">
        <v>78</v>
      </c>
      <c r="B32" s="141">
        <f>SUM(B5:B31)</f>
        <v>184027622</v>
      </c>
      <c r="C32" s="95"/>
      <c r="D32" s="141">
        <f>SUM(D5:D27)</f>
        <v>1216660</v>
      </c>
      <c r="E32" s="141">
        <f>SUM(E5:E31)</f>
        <v>182810962</v>
      </c>
      <c r="F32" s="51">
        <f>SUM(F5:F28)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7. melléklet a  ../.....(......) önkormányzati rendelethez&amp;"Times New Roman CE,Normál"&amp;10
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I46" sqref="I46"/>
    </sheetView>
  </sheetViews>
  <sheetFormatPr defaultRowHeight="12.75" x14ac:dyDescent="0.2"/>
  <cols>
    <col min="1" max="1" width="38.6640625" style="43" customWidth="1"/>
    <col min="2" max="5" width="13.83203125" style="43" customWidth="1"/>
    <col min="6" max="16384" width="9.33203125" style="43"/>
  </cols>
  <sheetData>
    <row r="1" spans="1:5" x14ac:dyDescent="0.2">
      <c r="A1" s="160"/>
      <c r="B1" s="160"/>
      <c r="C1" s="160"/>
      <c r="D1" s="160"/>
      <c r="E1" s="160"/>
    </row>
    <row r="2" spans="1:5" ht="34.5" customHeight="1" x14ac:dyDescent="0.25">
      <c r="A2" s="1214" t="s">
        <v>839</v>
      </c>
      <c r="B2" s="1214"/>
      <c r="C2" s="1214"/>
      <c r="D2" s="1214"/>
      <c r="E2" s="1214"/>
    </row>
    <row r="3" spans="1:5" ht="14.25" thickBot="1" x14ac:dyDescent="0.3">
      <c r="A3" s="160"/>
      <c r="B3" s="160"/>
      <c r="C3" s="160"/>
      <c r="D3" s="1215" t="s">
        <v>702</v>
      </c>
      <c r="E3" s="1215"/>
    </row>
    <row r="4" spans="1:5" ht="15" customHeight="1" thickBot="1" x14ac:dyDescent="0.25">
      <c r="A4" s="161" t="s">
        <v>143</v>
      </c>
      <c r="B4" s="162" t="s">
        <v>736</v>
      </c>
      <c r="C4" s="162">
        <v>2018</v>
      </c>
      <c r="D4" s="162" t="s">
        <v>737</v>
      </c>
      <c r="E4" s="163" t="s">
        <v>64</v>
      </c>
    </row>
    <row r="5" spans="1:5" x14ac:dyDescent="0.2">
      <c r="A5" s="164" t="s">
        <v>144</v>
      </c>
      <c r="B5" s="68"/>
      <c r="C5" s="68"/>
      <c r="D5" s="68"/>
      <c r="E5" s="165">
        <f t="shared" ref="E5:E11" si="0">SUM(B5:D5)</f>
        <v>0</v>
      </c>
    </row>
    <row r="6" spans="1:5" x14ac:dyDescent="0.2">
      <c r="A6" s="166" t="s">
        <v>156</v>
      </c>
      <c r="B6" s="69"/>
      <c r="C6" s="69"/>
      <c r="D6" s="69"/>
      <c r="E6" s="167">
        <f t="shared" si="0"/>
        <v>0</v>
      </c>
    </row>
    <row r="7" spans="1:5" x14ac:dyDescent="0.2">
      <c r="A7" s="168" t="s">
        <v>145</v>
      </c>
      <c r="B7" s="70">
        <v>71149405</v>
      </c>
      <c r="C7" s="70">
        <v>3796748</v>
      </c>
      <c r="D7" s="70"/>
      <c r="E7" s="169">
        <f t="shared" si="0"/>
        <v>74946153</v>
      </c>
    </row>
    <row r="8" spans="1:5" x14ac:dyDescent="0.2">
      <c r="A8" s="168" t="s">
        <v>157</v>
      </c>
      <c r="B8" s="70"/>
      <c r="C8" s="70"/>
      <c r="D8" s="70"/>
      <c r="E8" s="169">
        <f t="shared" si="0"/>
        <v>0</v>
      </c>
    </row>
    <row r="9" spans="1:5" x14ac:dyDescent="0.2">
      <c r="A9" s="168" t="s">
        <v>146</v>
      </c>
      <c r="B9" s="70"/>
      <c r="C9" s="70"/>
      <c r="D9" s="70"/>
      <c r="E9" s="169">
        <f t="shared" si="0"/>
        <v>0</v>
      </c>
    </row>
    <row r="10" spans="1:5" x14ac:dyDescent="0.2">
      <c r="A10" s="168" t="s">
        <v>147</v>
      </c>
      <c r="B10" s="70"/>
      <c r="C10" s="70"/>
      <c r="D10" s="70"/>
      <c r="E10" s="169">
        <f t="shared" si="0"/>
        <v>0</v>
      </c>
    </row>
    <row r="11" spans="1:5" ht="13.5" thickBot="1" x14ac:dyDescent="0.25">
      <c r="A11" s="71"/>
      <c r="B11" s="72"/>
      <c r="C11" s="72"/>
      <c r="D11" s="72"/>
      <c r="E11" s="169">
        <f t="shared" si="0"/>
        <v>0</v>
      </c>
    </row>
    <row r="12" spans="1:5" ht="13.5" thickBot="1" x14ac:dyDescent="0.25">
      <c r="A12" s="170" t="s">
        <v>149</v>
      </c>
      <c r="B12" s="171">
        <f>B5+SUM(B7:B11)</f>
        <v>71149405</v>
      </c>
      <c r="C12" s="171">
        <f>C5+SUM(C7:C11)</f>
        <v>3796748</v>
      </c>
      <c r="D12" s="171">
        <f>D5+SUM(D7:D11)</f>
        <v>0</v>
      </c>
      <c r="E12" s="172">
        <f>E5+SUM(E7:E11)</f>
        <v>74946153</v>
      </c>
    </row>
    <row r="13" spans="1:5" ht="13.5" thickBot="1" x14ac:dyDescent="0.25">
      <c r="A13" s="45"/>
      <c r="B13" s="45"/>
      <c r="C13" s="45"/>
      <c r="D13" s="45"/>
      <c r="E13" s="45"/>
    </row>
    <row r="14" spans="1:5" ht="15" customHeight="1" thickBot="1" x14ac:dyDescent="0.25">
      <c r="A14" s="161" t="s">
        <v>148</v>
      </c>
      <c r="B14" s="162" t="s">
        <v>736</v>
      </c>
      <c r="C14" s="162">
        <v>2018</v>
      </c>
      <c r="D14" s="162" t="s">
        <v>737</v>
      </c>
      <c r="E14" s="163" t="s">
        <v>64</v>
      </c>
    </row>
    <row r="15" spans="1:5" x14ac:dyDescent="0.2">
      <c r="A15" s="164" t="s">
        <v>152</v>
      </c>
      <c r="B15" s="68"/>
      <c r="C15" s="68"/>
      <c r="D15" s="68"/>
      <c r="E15" s="165">
        <f t="shared" ref="E15:E21" si="1">SUM(B15:D15)</f>
        <v>0</v>
      </c>
    </row>
    <row r="16" spans="1:5" x14ac:dyDescent="0.2">
      <c r="A16" s="173" t="s">
        <v>153</v>
      </c>
      <c r="B16" s="70">
        <v>70832051</v>
      </c>
      <c r="C16" s="70"/>
      <c r="D16" s="70"/>
      <c r="E16" s="169">
        <f t="shared" si="1"/>
        <v>70832051</v>
      </c>
    </row>
    <row r="17" spans="1:5" x14ac:dyDescent="0.2">
      <c r="A17" s="168" t="s">
        <v>154</v>
      </c>
      <c r="B17" s="70">
        <v>4114102</v>
      </c>
      <c r="C17" s="70"/>
      <c r="D17" s="70"/>
      <c r="E17" s="169">
        <f t="shared" si="1"/>
        <v>4114102</v>
      </c>
    </row>
    <row r="18" spans="1:5" x14ac:dyDescent="0.2">
      <c r="A18" s="168" t="s">
        <v>155</v>
      </c>
      <c r="B18" s="70"/>
      <c r="C18" s="70"/>
      <c r="D18" s="70"/>
      <c r="E18" s="169">
        <f t="shared" si="1"/>
        <v>0</v>
      </c>
    </row>
    <row r="19" spans="1:5" x14ac:dyDescent="0.2">
      <c r="A19" s="73" t="s">
        <v>713</v>
      </c>
      <c r="B19" s="70"/>
      <c r="C19" s="70"/>
      <c r="D19" s="70"/>
      <c r="E19" s="169">
        <f t="shared" si="1"/>
        <v>0</v>
      </c>
    </row>
    <row r="20" spans="1:5" x14ac:dyDescent="0.2">
      <c r="A20" s="73"/>
      <c r="B20" s="70"/>
      <c r="C20" s="70"/>
      <c r="D20" s="70"/>
      <c r="E20" s="169">
        <f t="shared" si="1"/>
        <v>0</v>
      </c>
    </row>
    <row r="21" spans="1:5" ht="13.5" thickBot="1" x14ac:dyDescent="0.25">
      <c r="A21" s="71"/>
      <c r="B21" s="72"/>
      <c r="C21" s="72"/>
      <c r="D21" s="72"/>
      <c r="E21" s="169">
        <f t="shared" si="1"/>
        <v>0</v>
      </c>
    </row>
    <row r="22" spans="1:5" ht="13.5" thickBot="1" x14ac:dyDescent="0.25">
      <c r="A22" s="170" t="s">
        <v>66</v>
      </c>
      <c r="B22" s="171">
        <f>SUM(B15:B21)</f>
        <v>74946153</v>
      </c>
      <c r="C22" s="171">
        <f>SUM(C15:C21)</f>
        <v>0</v>
      </c>
      <c r="D22" s="171">
        <f>SUM(D15:D21)</f>
        <v>0</v>
      </c>
      <c r="E22" s="172">
        <f>SUM(E15:E21)</f>
        <v>74946153</v>
      </c>
    </row>
    <row r="23" spans="1:5" x14ac:dyDescent="0.2">
      <c r="A23" s="160"/>
      <c r="B23" s="160"/>
      <c r="C23" s="160"/>
      <c r="D23" s="160"/>
      <c r="E23" s="160"/>
    </row>
    <row r="24" spans="1:5" ht="34.5" customHeight="1" x14ac:dyDescent="0.25">
      <c r="A24" s="1214" t="s">
        <v>840</v>
      </c>
      <c r="B24" s="1214"/>
      <c r="C24" s="1214"/>
      <c r="D24" s="1214"/>
      <c r="E24" s="1214"/>
    </row>
    <row r="25" spans="1:5" ht="14.25" thickBot="1" x14ac:dyDescent="0.3">
      <c r="A25" s="160"/>
      <c r="B25" s="160"/>
      <c r="C25" s="160"/>
      <c r="D25" s="1215" t="s">
        <v>702</v>
      </c>
      <c r="E25" s="1215"/>
    </row>
    <row r="26" spans="1:5" ht="13.5" thickBot="1" x14ac:dyDescent="0.25">
      <c r="A26" s="161" t="s">
        <v>143</v>
      </c>
      <c r="B26" s="162" t="s">
        <v>736</v>
      </c>
      <c r="C26" s="162">
        <v>2018</v>
      </c>
      <c r="D26" s="162" t="s">
        <v>737</v>
      </c>
      <c r="E26" s="163" t="s">
        <v>64</v>
      </c>
    </row>
    <row r="27" spans="1:5" x14ac:dyDescent="0.2">
      <c r="A27" s="164" t="s">
        <v>144</v>
      </c>
      <c r="B27" s="68"/>
      <c r="C27" s="68"/>
      <c r="D27" s="68"/>
      <c r="E27" s="165">
        <f t="shared" ref="E27:E33" si="2">SUM(B27:D27)</f>
        <v>0</v>
      </c>
    </row>
    <row r="28" spans="1:5" x14ac:dyDescent="0.2">
      <c r="A28" s="166" t="s">
        <v>156</v>
      </c>
      <c r="B28" s="69"/>
      <c r="C28" s="69"/>
      <c r="D28" s="69"/>
      <c r="E28" s="167">
        <f t="shared" si="2"/>
        <v>0</v>
      </c>
    </row>
    <row r="29" spans="1:5" x14ac:dyDescent="0.2">
      <c r="A29" s="168" t="s">
        <v>145</v>
      </c>
      <c r="B29" s="70">
        <v>71809476</v>
      </c>
      <c r="C29" s="70">
        <v>3779393</v>
      </c>
      <c r="D29" s="70"/>
      <c r="E29" s="169">
        <f t="shared" si="2"/>
        <v>75588869</v>
      </c>
    </row>
    <row r="30" spans="1:5" x14ac:dyDescent="0.2">
      <c r="A30" s="168" t="s">
        <v>157</v>
      </c>
      <c r="B30" s="70"/>
      <c r="C30" s="70"/>
      <c r="D30" s="70"/>
      <c r="E30" s="169">
        <f t="shared" si="2"/>
        <v>0</v>
      </c>
    </row>
    <row r="31" spans="1:5" x14ac:dyDescent="0.2">
      <c r="A31" s="168" t="s">
        <v>146</v>
      </c>
      <c r="B31" s="384"/>
      <c r="C31" s="70"/>
      <c r="D31" s="70"/>
      <c r="E31" s="169">
        <f t="shared" si="2"/>
        <v>0</v>
      </c>
    </row>
    <row r="32" spans="1:5" x14ac:dyDescent="0.2">
      <c r="A32" s="168" t="s">
        <v>147</v>
      </c>
      <c r="B32" s="70"/>
      <c r="C32" s="70"/>
      <c r="D32" s="70"/>
      <c r="E32" s="169">
        <f t="shared" si="2"/>
        <v>0</v>
      </c>
    </row>
    <row r="33" spans="1:8" ht="13.5" thickBot="1" x14ac:dyDescent="0.25">
      <c r="A33" s="71"/>
      <c r="B33" s="72"/>
      <c r="C33" s="72"/>
      <c r="D33" s="72"/>
      <c r="E33" s="169">
        <f t="shared" si="2"/>
        <v>0</v>
      </c>
    </row>
    <row r="34" spans="1:8" ht="13.5" thickBot="1" x14ac:dyDescent="0.25">
      <c r="A34" s="170" t="s">
        <v>149</v>
      </c>
      <c r="B34" s="171">
        <f>B27+SUM(B29:B33)</f>
        <v>71809476</v>
      </c>
      <c r="C34" s="171">
        <f>C27+SUM(C29:C33)</f>
        <v>3779393</v>
      </c>
      <c r="D34" s="171">
        <f>D27+SUM(D29:D33)</f>
        <v>0</v>
      </c>
      <c r="E34" s="172">
        <f>E27+SUM(E29:E33)</f>
        <v>75588869</v>
      </c>
    </row>
    <row r="35" spans="1:8" ht="13.5" thickBot="1" x14ac:dyDescent="0.25">
      <c r="A35" s="45"/>
      <c r="B35" s="45"/>
      <c r="C35" s="45"/>
      <c r="D35" s="45"/>
      <c r="E35" s="45"/>
    </row>
    <row r="36" spans="1:8" ht="13.5" thickBot="1" x14ac:dyDescent="0.25">
      <c r="A36" s="161" t="s">
        <v>148</v>
      </c>
      <c r="B36" s="162" t="s">
        <v>736</v>
      </c>
      <c r="C36" s="162">
        <v>2018</v>
      </c>
      <c r="D36" s="162" t="s">
        <v>737</v>
      </c>
      <c r="E36" s="163" t="s">
        <v>64</v>
      </c>
    </row>
    <row r="37" spans="1:8" x14ac:dyDescent="0.2">
      <c r="A37" s="164" t="s">
        <v>152</v>
      </c>
      <c r="B37" s="68">
        <v>472408</v>
      </c>
      <c r="C37" s="68">
        <v>1390605</v>
      </c>
      <c r="D37" s="68"/>
      <c r="E37" s="165">
        <f t="shared" ref="E37:E43" si="3">SUM(B37:D37)</f>
        <v>1863013</v>
      </c>
    </row>
    <row r="38" spans="1:8" x14ac:dyDescent="0.2">
      <c r="A38" s="173" t="s">
        <v>153</v>
      </c>
      <c r="B38" s="70">
        <v>20930495</v>
      </c>
      <c r="C38" s="70">
        <v>31395743</v>
      </c>
      <c r="D38" s="70"/>
      <c r="E38" s="169">
        <f t="shared" si="3"/>
        <v>52326238</v>
      </c>
    </row>
    <row r="39" spans="1:8" x14ac:dyDescent="0.2">
      <c r="A39" s="168" t="s">
        <v>154</v>
      </c>
      <c r="B39" s="70">
        <v>4527778</v>
      </c>
      <c r="C39" s="70">
        <v>1864068</v>
      </c>
      <c r="D39" s="70"/>
      <c r="E39" s="169">
        <f t="shared" si="3"/>
        <v>6391846</v>
      </c>
    </row>
    <row r="40" spans="1:8" x14ac:dyDescent="0.2">
      <c r="A40" s="168" t="s">
        <v>155</v>
      </c>
      <c r="B40" s="70"/>
      <c r="C40" s="70"/>
      <c r="D40" s="70"/>
      <c r="E40" s="169">
        <f t="shared" si="3"/>
        <v>0</v>
      </c>
    </row>
    <row r="41" spans="1:8" x14ac:dyDescent="0.2">
      <c r="A41" s="73" t="s">
        <v>713</v>
      </c>
      <c r="B41" s="70"/>
      <c r="C41" s="70">
        <v>846565</v>
      </c>
      <c r="D41" s="70">
        <v>33122</v>
      </c>
      <c r="E41" s="169">
        <f t="shared" si="3"/>
        <v>879687</v>
      </c>
    </row>
    <row r="42" spans="1:8" x14ac:dyDescent="0.2">
      <c r="A42" s="73" t="s">
        <v>728</v>
      </c>
      <c r="B42" s="562"/>
      <c r="C42" s="70">
        <v>14128085</v>
      </c>
      <c r="D42" s="70"/>
      <c r="E42" s="169">
        <f t="shared" si="3"/>
        <v>14128085</v>
      </c>
    </row>
    <row r="43" spans="1:8" ht="13.5" thickBot="1" x14ac:dyDescent="0.25">
      <c r="A43" s="71"/>
      <c r="B43" s="72"/>
      <c r="C43" s="72"/>
      <c r="D43" s="72"/>
      <c r="E43" s="169">
        <f t="shared" si="3"/>
        <v>0</v>
      </c>
    </row>
    <row r="44" spans="1:8" ht="13.5" thickBot="1" x14ac:dyDescent="0.25">
      <c r="A44" s="170" t="s">
        <v>66</v>
      </c>
      <c r="B44" s="863">
        <f>SUM(B37:B43)</f>
        <v>25930681</v>
      </c>
      <c r="C44" s="863">
        <f>SUM(C37:C43)</f>
        <v>49625066</v>
      </c>
      <c r="D44" s="863">
        <f>SUM(D37:D43)</f>
        <v>33122</v>
      </c>
      <c r="E44" s="864">
        <f>SUM(E37:E43)</f>
        <v>75588869</v>
      </c>
    </row>
    <row r="45" spans="1:8" x14ac:dyDescent="0.2">
      <c r="A45" s="160"/>
      <c r="B45" s="160"/>
      <c r="C45" s="160"/>
      <c r="D45" s="160"/>
      <c r="E45" s="160"/>
    </row>
    <row r="46" spans="1:8" ht="15.75" x14ac:dyDescent="0.2">
      <c r="A46" s="1216" t="s">
        <v>759</v>
      </c>
      <c r="B46" s="1216"/>
      <c r="C46" s="1216"/>
      <c r="D46" s="1216"/>
      <c r="E46" s="1216"/>
    </row>
    <row r="47" spans="1:8" ht="13.5" thickBot="1" x14ac:dyDescent="0.25">
      <c r="A47" s="160"/>
      <c r="B47" s="160"/>
      <c r="C47" s="160"/>
      <c r="D47" s="160"/>
      <c r="E47" s="160"/>
    </row>
    <row r="48" spans="1:8" ht="13.5" thickBot="1" x14ac:dyDescent="0.25">
      <c r="A48" s="1209" t="s">
        <v>150</v>
      </c>
      <c r="B48" s="1210"/>
      <c r="C48" s="1211"/>
      <c r="D48" s="1212" t="s">
        <v>703</v>
      </c>
      <c r="E48" s="1213"/>
      <c r="H48" s="44"/>
    </row>
    <row r="49" spans="1:5" x14ac:dyDescent="0.2">
      <c r="A49" s="1194"/>
      <c r="B49" s="1195"/>
      <c r="C49" s="1196"/>
      <c r="D49" s="1197"/>
      <c r="E49" s="1198"/>
    </row>
    <row r="50" spans="1:5" ht="13.5" thickBot="1" x14ac:dyDescent="0.25">
      <c r="A50" s="1199"/>
      <c r="B50" s="1200"/>
      <c r="C50" s="1201"/>
      <c r="D50" s="1202"/>
      <c r="E50" s="1203"/>
    </row>
    <row r="51" spans="1:5" ht="13.5" thickBot="1" x14ac:dyDescent="0.25">
      <c r="A51" s="1204" t="s">
        <v>66</v>
      </c>
      <c r="B51" s="1205"/>
      <c r="C51" s="1206"/>
      <c r="D51" s="1207">
        <f>SUM(D49:E50)</f>
        <v>0</v>
      </c>
      <c r="E51" s="1208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4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 melléklet a ../....(.....)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topLeftCell="A34" zoomScaleNormal="100" zoomScaleSheetLayoutView="85" workbookViewId="0">
      <selection activeCell="L13" sqref="L13"/>
    </sheetView>
  </sheetViews>
  <sheetFormatPr defaultRowHeight="12.75" x14ac:dyDescent="0.2"/>
  <cols>
    <col min="1" max="1" width="38.6640625" style="43" customWidth="1"/>
    <col min="2" max="5" width="13.83203125" style="43" customWidth="1"/>
    <col min="6" max="16384" width="9.33203125" style="43"/>
  </cols>
  <sheetData>
    <row r="1" spans="1:5" x14ac:dyDescent="0.2">
      <c r="A1" s="160"/>
      <c r="B1" s="160"/>
      <c r="C1" s="160"/>
      <c r="D1" s="160"/>
      <c r="E1" s="160"/>
    </row>
    <row r="2" spans="1:5" ht="34.5" customHeight="1" x14ac:dyDescent="0.25">
      <c r="A2" s="1214" t="s">
        <v>841</v>
      </c>
      <c r="B2" s="1214"/>
      <c r="C2" s="1214"/>
      <c r="D2" s="1214"/>
      <c r="E2" s="1214"/>
    </row>
    <row r="3" spans="1:5" ht="14.25" thickBot="1" x14ac:dyDescent="0.3">
      <c r="A3" s="160"/>
      <c r="B3" s="160"/>
      <c r="C3" s="160"/>
      <c r="D3" s="1215" t="s">
        <v>702</v>
      </c>
      <c r="E3" s="1215"/>
    </row>
    <row r="4" spans="1:5" ht="15" customHeight="1" thickBot="1" x14ac:dyDescent="0.25">
      <c r="A4" s="161" t="s">
        <v>143</v>
      </c>
      <c r="B4" s="162" t="s">
        <v>736</v>
      </c>
      <c r="C4" s="162">
        <v>2018</v>
      </c>
      <c r="D4" s="162" t="s">
        <v>737</v>
      </c>
      <c r="E4" s="163" t="s">
        <v>64</v>
      </c>
    </row>
    <row r="5" spans="1:5" x14ac:dyDescent="0.2">
      <c r="A5" s="164" t="s">
        <v>144</v>
      </c>
      <c r="B5" s="68"/>
      <c r="C5" s="68"/>
      <c r="D5" s="68"/>
      <c r="E5" s="165">
        <f t="shared" ref="E5:E11" si="0">SUM(B5:D5)</f>
        <v>0</v>
      </c>
    </row>
    <row r="6" spans="1:5" x14ac:dyDescent="0.2">
      <c r="A6" s="166" t="s">
        <v>156</v>
      </c>
      <c r="B6" s="69"/>
      <c r="C6" s="69"/>
      <c r="D6" s="69"/>
      <c r="E6" s="167">
        <f t="shared" si="0"/>
        <v>0</v>
      </c>
    </row>
    <row r="7" spans="1:5" x14ac:dyDescent="0.2">
      <c r="A7" s="168" t="s">
        <v>145</v>
      </c>
      <c r="B7" s="70">
        <v>193854682</v>
      </c>
      <c r="C7" s="70">
        <v>5866130</v>
      </c>
      <c r="D7" s="70"/>
      <c r="E7" s="169">
        <f t="shared" si="0"/>
        <v>199720812</v>
      </c>
    </row>
    <row r="8" spans="1:5" x14ac:dyDescent="0.2">
      <c r="A8" s="168" t="s">
        <v>157</v>
      </c>
      <c r="B8" s="70"/>
      <c r="C8" s="70"/>
      <c r="D8" s="70"/>
      <c r="E8" s="169">
        <f t="shared" si="0"/>
        <v>0</v>
      </c>
    </row>
    <row r="9" spans="1:5" x14ac:dyDescent="0.2">
      <c r="A9" s="168" t="s">
        <v>146</v>
      </c>
      <c r="B9" s="70"/>
      <c r="C9" s="70"/>
      <c r="D9" s="70"/>
      <c r="E9" s="169">
        <f t="shared" si="0"/>
        <v>0</v>
      </c>
    </row>
    <row r="10" spans="1:5" x14ac:dyDescent="0.2">
      <c r="A10" s="168" t="s">
        <v>147</v>
      </c>
      <c r="B10" s="70"/>
      <c r="C10" s="70"/>
      <c r="D10" s="70"/>
      <c r="E10" s="169">
        <f t="shared" si="0"/>
        <v>0</v>
      </c>
    </row>
    <row r="11" spans="1:5" ht="13.5" thickBot="1" x14ac:dyDescent="0.25">
      <c r="A11" s="71"/>
      <c r="B11" s="72"/>
      <c r="C11" s="72"/>
      <c r="D11" s="72"/>
      <c r="E11" s="169">
        <f t="shared" si="0"/>
        <v>0</v>
      </c>
    </row>
    <row r="12" spans="1:5" ht="13.5" thickBot="1" x14ac:dyDescent="0.25">
      <c r="A12" s="170" t="s">
        <v>149</v>
      </c>
      <c r="B12" s="171">
        <f>B5+SUM(B7:B11)</f>
        <v>193854682</v>
      </c>
      <c r="C12" s="171">
        <f>C5+SUM(C7:C11)</f>
        <v>5866130</v>
      </c>
      <c r="D12" s="171">
        <f>D5+SUM(D7:D11)</f>
        <v>0</v>
      </c>
      <c r="E12" s="172">
        <f>E5+SUM(E7:E11)</f>
        <v>199720812</v>
      </c>
    </row>
    <row r="13" spans="1:5" ht="13.5" thickBot="1" x14ac:dyDescent="0.25">
      <c r="A13" s="45"/>
      <c r="B13" s="45"/>
      <c r="C13" s="45"/>
      <c r="D13" s="45"/>
      <c r="E13" s="45"/>
    </row>
    <row r="14" spans="1:5" ht="15" customHeight="1" thickBot="1" x14ac:dyDescent="0.25">
      <c r="A14" s="161" t="s">
        <v>148</v>
      </c>
      <c r="B14" s="162" t="s">
        <v>736</v>
      </c>
      <c r="C14" s="162">
        <v>2018</v>
      </c>
      <c r="D14" s="162" t="s">
        <v>737</v>
      </c>
      <c r="E14" s="163" t="s">
        <v>64</v>
      </c>
    </row>
    <row r="15" spans="1:5" x14ac:dyDescent="0.2">
      <c r="A15" s="164" t="s">
        <v>152</v>
      </c>
      <c r="B15" s="68">
        <v>611734</v>
      </c>
      <c r="C15" s="68">
        <v>3355465</v>
      </c>
      <c r="D15" s="68"/>
      <c r="E15" s="165">
        <f t="shared" ref="E15:E21" si="1">SUM(B15:D15)</f>
        <v>3967199</v>
      </c>
    </row>
    <row r="16" spans="1:5" x14ac:dyDescent="0.2">
      <c r="A16" s="173" t="s">
        <v>153</v>
      </c>
      <c r="B16" s="562"/>
      <c r="C16" s="70">
        <v>139337230</v>
      </c>
      <c r="D16" s="562"/>
      <c r="E16" s="169">
        <f t="shared" si="1"/>
        <v>139337230</v>
      </c>
    </row>
    <row r="17" spans="1:5" x14ac:dyDescent="0.2">
      <c r="A17" s="168" t="s">
        <v>154</v>
      </c>
      <c r="B17" s="70">
        <v>1216660</v>
      </c>
      <c r="C17" s="70">
        <v>11178540</v>
      </c>
      <c r="D17" s="70"/>
      <c r="E17" s="169">
        <f t="shared" si="1"/>
        <v>12395200</v>
      </c>
    </row>
    <row r="18" spans="1:5" x14ac:dyDescent="0.2">
      <c r="A18" s="168" t="s">
        <v>155</v>
      </c>
      <c r="B18" s="70"/>
      <c r="C18" s="70"/>
      <c r="D18" s="70"/>
      <c r="E18" s="169">
        <f t="shared" si="1"/>
        <v>0</v>
      </c>
    </row>
    <row r="19" spans="1:5" x14ac:dyDescent="0.2">
      <c r="A19" s="73" t="s">
        <v>713</v>
      </c>
      <c r="B19" s="70"/>
      <c r="C19" s="70">
        <v>6083465</v>
      </c>
      <c r="D19" s="70">
        <v>316665</v>
      </c>
      <c r="E19" s="169">
        <f t="shared" si="1"/>
        <v>6400130</v>
      </c>
    </row>
    <row r="20" spans="1:5" x14ac:dyDescent="0.2">
      <c r="A20" s="73" t="s">
        <v>728</v>
      </c>
      <c r="B20" s="70"/>
      <c r="C20" s="70">
        <v>37621053</v>
      </c>
      <c r="D20" s="70"/>
      <c r="E20" s="169">
        <f t="shared" si="1"/>
        <v>37621053</v>
      </c>
    </row>
    <row r="21" spans="1:5" ht="13.5" thickBot="1" x14ac:dyDescent="0.25">
      <c r="A21" s="71"/>
      <c r="B21" s="72"/>
      <c r="C21" s="72"/>
      <c r="D21" s="72"/>
      <c r="E21" s="169">
        <f t="shared" si="1"/>
        <v>0</v>
      </c>
    </row>
    <row r="22" spans="1:5" ht="13.5" thickBot="1" x14ac:dyDescent="0.25">
      <c r="A22" s="170" t="s">
        <v>66</v>
      </c>
      <c r="B22" s="171">
        <f>SUM(B15:B21)</f>
        <v>1828394</v>
      </c>
      <c r="C22" s="171">
        <f>SUM(C15:C21)</f>
        <v>197575753</v>
      </c>
      <c r="D22" s="171">
        <f>SUM(D15:D21)</f>
        <v>316665</v>
      </c>
      <c r="E22" s="172">
        <f>SUM(E15:E21)</f>
        <v>199720812</v>
      </c>
    </row>
    <row r="23" spans="1:5" x14ac:dyDescent="0.2">
      <c r="A23" s="160"/>
      <c r="B23" s="160"/>
      <c r="C23" s="160"/>
      <c r="D23" s="160"/>
      <c r="E23" s="160"/>
    </row>
    <row r="24" spans="1:5" ht="47.25" customHeight="1" x14ac:dyDescent="0.25">
      <c r="A24" s="1214" t="s">
        <v>842</v>
      </c>
      <c r="B24" s="1214"/>
      <c r="C24" s="1214"/>
      <c r="D24" s="1214"/>
      <c r="E24" s="1214"/>
    </row>
    <row r="25" spans="1:5" ht="14.25" thickBot="1" x14ac:dyDescent="0.3">
      <c r="A25" s="160"/>
      <c r="B25" s="160"/>
      <c r="C25" s="160"/>
      <c r="D25" s="1215" t="s">
        <v>702</v>
      </c>
      <c r="E25" s="1215"/>
    </row>
    <row r="26" spans="1:5" ht="13.5" thickBot="1" x14ac:dyDescent="0.25">
      <c r="A26" s="161" t="s">
        <v>143</v>
      </c>
      <c r="B26" s="162" t="s">
        <v>736</v>
      </c>
      <c r="C26" s="162">
        <v>2018</v>
      </c>
      <c r="D26" s="162" t="s">
        <v>737</v>
      </c>
      <c r="E26" s="163" t="s">
        <v>64</v>
      </c>
    </row>
    <row r="27" spans="1:5" x14ac:dyDescent="0.2">
      <c r="A27" s="164" t="s">
        <v>144</v>
      </c>
      <c r="B27" s="68"/>
      <c r="C27" s="68"/>
      <c r="D27" s="68"/>
      <c r="E27" s="165">
        <f t="shared" ref="E27:E33" si="2">SUM(B27:D27)</f>
        <v>0</v>
      </c>
    </row>
    <row r="28" spans="1:5" x14ac:dyDescent="0.2">
      <c r="A28" s="166" t="s">
        <v>156</v>
      </c>
      <c r="B28" s="69"/>
      <c r="C28" s="69"/>
      <c r="D28" s="69"/>
      <c r="E28" s="167">
        <f t="shared" si="2"/>
        <v>0</v>
      </c>
    </row>
    <row r="29" spans="1:5" x14ac:dyDescent="0.2">
      <c r="A29" s="168" t="s">
        <v>145</v>
      </c>
      <c r="B29" s="70">
        <v>15956160</v>
      </c>
      <c r="C29" s="70"/>
      <c r="D29" s="70"/>
      <c r="E29" s="169">
        <f t="shared" si="2"/>
        <v>15956160</v>
      </c>
    </row>
    <row r="30" spans="1:5" x14ac:dyDescent="0.2">
      <c r="A30" s="168" t="s">
        <v>157</v>
      </c>
      <c r="B30" s="70"/>
      <c r="C30" s="70"/>
      <c r="D30" s="70"/>
      <c r="E30" s="169">
        <f t="shared" si="2"/>
        <v>0</v>
      </c>
    </row>
    <row r="31" spans="1:5" x14ac:dyDescent="0.2">
      <c r="A31" s="168" t="s">
        <v>146</v>
      </c>
      <c r="B31" s="384"/>
      <c r="C31" s="70"/>
      <c r="D31" s="70"/>
      <c r="E31" s="169">
        <f t="shared" si="2"/>
        <v>0</v>
      </c>
    </row>
    <row r="32" spans="1:5" x14ac:dyDescent="0.2">
      <c r="A32" s="168" t="s">
        <v>147</v>
      </c>
      <c r="B32" s="70"/>
      <c r="C32" s="70"/>
      <c r="D32" s="70"/>
      <c r="E32" s="169">
        <f t="shared" si="2"/>
        <v>0</v>
      </c>
    </row>
    <row r="33" spans="1:8" ht="13.5" thickBot="1" x14ac:dyDescent="0.25">
      <c r="A33" s="71"/>
      <c r="B33" s="72"/>
      <c r="C33" s="72"/>
      <c r="D33" s="72"/>
      <c r="E33" s="169">
        <f t="shared" si="2"/>
        <v>0</v>
      </c>
    </row>
    <row r="34" spans="1:8" ht="13.5" thickBot="1" x14ac:dyDescent="0.25">
      <c r="A34" s="170" t="s">
        <v>149</v>
      </c>
      <c r="B34" s="171">
        <f>B27+SUM(B29:B33)</f>
        <v>15956160</v>
      </c>
      <c r="C34" s="171">
        <f>C27+SUM(C29:C33)</f>
        <v>0</v>
      </c>
      <c r="D34" s="171">
        <f>D27+SUM(D29:D33)</f>
        <v>0</v>
      </c>
      <c r="E34" s="172">
        <f>E27+SUM(E29:E33)</f>
        <v>15956160</v>
      </c>
    </row>
    <row r="35" spans="1:8" ht="13.5" thickBot="1" x14ac:dyDescent="0.25">
      <c r="A35" s="45"/>
      <c r="B35" s="45"/>
      <c r="C35" s="45"/>
      <c r="D35" s="45"/>
      <c r="E35" s="45"/>
    </row>
    <row r="36" spans="1:8" ht="13.5" thickBot="1" x14ac:dyDescent="0.25">
      <c r="A36" s="161" t="s">
        <v>148</v>
      </c>
      <c r="B36" s="162" t="s">
        <v>736</v>
      </c>
      <c r="C36" s="162">
        <v>2018</v>
      </c>
      <c r="D36" s="162" t="s">
        <v>737</v>
      </c>
      <c r="E36" s="163" t="s">
        <v>64</v>
      </c>
    </row>
    <row r="37" spans="1:8" x14ac:dyDescent="0.2">
      <c r="A37" s="164" t="s">
        <v>152</v>
      </c>
      <c r="B37" s="68"/>
      <c r="C37" s="68"/>
      <c r="D37" s="68"/>
      <c r="E37" s="165">
        <f t="shared" ref="E37:E43" si="3">SUM(B37:D37)</f>
        <v>0</v>
      </c>
    </row>
    <row r="38" spans="1:8" x14ac:dyDescent="0.2">
      <c r="A38" s="173" t="s">
        <v>153</v>
      </c>
      <c r="B38" s="70"/>
      <c r="C38" s="70">
        <f>11917323</f>
        <v>11917323</v>
      </c>
      <c r="D38" s="70"/>
      <c r="E38" s="169">
        <f t="shared" si="3"/>
        <v>11917323</v>
      </c>
    </row>
    <row r="39" spans="1:8" x14ac:dyDescent="0.2">
      <c r="A39" s="168" t="s">
        <v>154</v>
      </c>
      <c r="B39" s="70"/>
      <c r="C39" s="70">
        <v>956160</v>
      </c>
      <c r="D39" s="70"/>
      <c r="E39" s="169">
        <f t="shared" si="3"/>
        <v>956160</v>
      </c>
    </row>
    <row r="40" spans="1:8" x14ac:dyDescent="0.2">
      <c r="A40" s="168" t="s">
        <v>155</v>
      </c>
      <c r="B40" s="70"/>
      <c r="C40" s="70"/>
      <c r="D40" s="70"/>
      <c r="E40" s="169">
        <f t="shared" si="3"/>
        <v>0</v>
      </c>
    </row>
    <row r="41" spans="1:8" x14ac:dyDescent="0.2">
      <c r="A41" s="73" t="s">
        <v>713</v>
      </c>
      <c r="B41" s="70"/>
      <c r="C41" s="70"/>
      <c r="D41" s="70"/>
      <c r="E41" s="169">
        <f t="shared" si="3"/>
        <v>0</v>
      </c>
    </row>
    <row r="42" spans="1:8" x14ac:dyDescent="0.2">
      <c r="A42" s="73" t="s">
        <v>728</v>
      </c>
      <c r="B42" s="562"/>
      <c r="C42" s="70">
        <v>3082677</v>
      </c>
      <c r="D42" s="70"/>
      <c r="E42" s="169">
        <f t="shared" si="3"/>
        <v>3082677</v>
      </c>
    </row>
    <row r="43" spans="1:8" ht="13.5" thickBot="1" x14ac:dyDescent="0.25">
      <c r="A43" s="71"/>
      <c r="B43" s="72"/>
      <c r="C43" s="72"/>
      <c r="D43" s="72"/>
      <c r="E43" s="169">
        <f t="shared" si="3"/>
        <v>0</v>
      </c>
    </row>
    <row r="44" spans="1:8" ht="13.5" thickBot="1" x14ac:dyDescent="0.25">
      <c r="A44" s="170" t="s">
        <v>66</v>
      </c>
      <c r="B44" s="863">
        <f>SUM(B37:B43)</f>
        <v>0</v>
      </c>
      <c r="C44" s="863">
        <f>SUM(C37:C43)</f>
        <v>15956160</v>
      </c>
      <c r="D44" s="863">
        <f>SUM(D37:D43)</f>
        <v>0</v>
      </c>
      <c r="E44" s="864">
        <f>SUM(E37:E43)</f>
        <v>15956160</v>
      </c>
    </row>
    <row r="45" spans="1:8" x14ac:dyDescent="0.2">
      <c r="A45" s="160"/>
      <c r="B45" s="160"/>
      <c r="C45" s="160"/>
      <c r="D45" s="160"/>
      <c r="E45" s="160"/>
    </row>
    <row r="46" spans="1:8" ht="15.75" x14ac:dyDescent="0.2">
      <c r="A46" s="1216" t="s">
        <v>759</v>
      </c>
      <c r="B46" s="1216"/>
      <c r="C46" s="1216"/>
      <c r="D46" s="1216"/>
      <c r="E46" s="1216"/>
    </row>
    <row r="47" spans="1:8" ht="13.5" thickBot="1" x14ac:dyDescent="0.25">
      <c r="A47" s="160"/>
      <c r="B47" s="160"/>
      <c r="C47" s="160"/>
      <c r="D47" s="160"/>
      <c r="E47" s="160"/>
    </row>
    <row r="48" spans="1:8" ht="13.5" thickBot="1" x14ac:dyDescent="0.25">
      <c r="A48" s="1209" t="s">
        <v>150</v>
      </c>
      <c r="B48" s="1210"/>
      <c r="C48" s="1211"/>
      <c r="D48" s="1212" t="s">
        <v>703</v>
      </c>
      <c r="E48" s="1213"/>
      <c r="H48" s="44"/>
    </row>
    <row r="49" spans="1:5" x14ac:dyDescent="0.2">
      <c r="A49" s="1194"/>
      <c r="B49" s="1195"/>
      <c r="C49" s="1196"/>
      <c r="D49" s="1197"/>
      <c r="E49" s="1198"/>
    </row>
    <row r="50" spans="1:5" ht="13.5" thickBot="1" x14ac:dyDescent="0.25">
      <c r="A50" s="1199"/>
      <c r="B50" s="1200"/>
      <c r="C50" s="1201"/>
      <c r="D50" s="1202"/>
      <c r="E50" s="1203"/>
    </row>
    <row r="51" spans="1:5" ht="13.5" thickBot="1" x14ac:dyDescent="0.25">
      <c r="A51" s="1204" t="s">
        <v>66</v>
      </c>
      <c r="B51" s="1205"/>
      <c r="C51" s="1206"/>
      <c r="D51" s="1207">
        <f>SUM(D49:E50)</f>
        <v>0</v>
      </c>
      <c r="E51" s="1208"/>
    </row>
  </sheetData>
  <mergeCells count="13">
    <mergeCell ref="A49:C49"/>
    <mergeCell ref="D49:E49"/>
    <mergeCell ref="A50:C50"/>
    <mergeCell ref="D50:E50"/>
    <mergeCell ref="A51:C51"/>
    <mergeCell ref="D51:E51"/>
    <mergeCell ref="A48:C48"/>
    <mergeCell ref="D48:E48"/>
    <mergeCell ref="A2:E2"/>
    <mergeCell ref="D3:E3"/>
    <mergeCell ref="A24:E24"/>
    <mergeCell ref="D25:E25"/>
    <mergeCell ref="A46:E46"/>
  </mergeCells>
  <conditionalFormatting sqref="E27:E34 B34:D34 E37:E44 B44:D44 D51:E51 E5:E12 B12:D12 B22:E22 E15:E21">
    <cfRule type="cellIs" dxfId="3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2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8.1. melléklet a ../....(.....)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G36" sqref="G36"/>
    </sheetView>
  </sheetViews>
  <sheetFormatPr defaultRowHeight="12.75" x14ac:dyDescent="0.2"/>
  <cols>
    <col min="1" max="1" width="38.6640625" style="43" customWidth="1"/>
    <col min="2" max="5" width="13.83203125" style="43" customWidth="1"/>
    <col min="6" max="16384" width="9.33203125" style="43"/>
  </cols>
  <sheetData>
    <row r="1" spans="1:5" x14ac:dyDescent="0.2">
      <c r="A1" s="160"/>
      <c r="B1" s="160"/>
      <c r="C1" s="160"/>
      <c r="D1" s="160"/>
      <c r="E1" s="160"/>
    </row>
    <row r="2" spans="1:5" ht="34.5" customHeight="1" x14ac:dyDescent="0.25">
      <c r="A2" s="1214" t="s">
        <v>843</v>
      </c>
      <c r="B2" s="1214"/>
      <c r="C2" s="1214"/>
      <c r="D2" s="1214"/>
      <c r="E2" s="1214"/>
    </row>
    <row r="3" spans="1:5" ht="14.25" thickBot="1" x14ac:dyDescent="0.3">
      <c r="A3" s="160"/>
      <c r="B3" s="160"/>
      <c r="C3" s="160"/>
      <c r="D3" s="1215" t="s">
        <v>702</v>
      </c>
      <c r="E3" s="1215"/>
    </row>
    <row r="4" spans="1:5" ht="15" customHeight="1" thickBot="1" x14ac:dyDescent="0.25">
      <c r="A4" s="161" t="s">
        <v>143</v>
      </c>
      <c r="B4" s="162" t="s">
        <v>736</v>
      </c>
      <c r="C4" s="162">
        <v>2018</v>
      </c>
      <c r="D4" s="162" t="s">
        <v>737</v>
      </c>
      <c r="E4" s="163" t="s">
        <v>64</v>
      </c>
    </row>
    <row r="5" spans="1:5" x14ac:dyDescent="0.2">
      <c r="A5" s="164" t="s">
        <v>144</v>
      </c>
      <c r="B5" s="68"/>
      <c r="C5" s="68"/>
      <c r="D5" s="68"/>
      <c r="E5" s="165">
        <f t="shared" ref="E5:E11" si="0">SUM(B5:D5)</f>
        <v>0</v>
      </c>
    </row>
    <row r="6" spans="1:5" x14ac:dyDescent="0.2">
      <c r="A6" s="166" t="s">
        <v>156</v>
      </c>
      <c r="B6" s="69"/>
      <c r="C6" s="69"/>
      <c r="D6" s="69"/>
      <c r="E6" s="167">
        <f t="shared" si="0"/>
        <v>0</v>
      </c>
    </row>
    <row r="7" spans="1:5" x14ac:dyDescent="0.2">
      <c r="A7" s="168" t="s">
        <v>145</v>
      </c>
      <c r="B7" s="70">
        <v>214128350</v>
      </c>
      <c r="C7" s="70"/>
      <c r="D7" s="70"/>
      <c r="E7" s="169">
        <f t="shared" si="0"/>
        <v>214128350</v>
      </c>
    </row>
    <row r="8" spans="1:5" x14ac:dyDescent="0.2">
      <c r="A8" s="168" t="s">
        <v>157</v>
      </c>
      <c r="B8" s="70"/>
      <c r="C8" s="70"/>
      <c r="D8" s="70"/>
      <c r="E8" s="169">
        <f t="shared" si="0"/>
        <v>0</v>
      </c>
    </row>
    <row r="9" spans="1:5" x14ac:dyDescent="0.2">
      <c r="A9" s="168" t="s">
        <v>146</v>
      </c>
      <c r="B9" s="70"/>
      <c r="C9" s="70"/>
      <c r="D9" s="70"/>
      <c r="E9" s="169">
        <f t="shared" si="0"/>
        <v>0</v>
      </c>
    </row>
    <row r="10" spans="1:5" x14ac:dyDescent="0.2">
      <c r="A10" s="168" t="s">
        <v>147</v>
      </c>
      <c r="B10" s="70"/>
      <c r="C10" s="70"/>
      <c r="D10" s="70"/>
      <c r="E10" s="169">
        <f t="shared" si="0"/>
        <v>0</v>
      </c>
    </row>
    <row r="11" spans="1:5" ht="13.5" thickBot="1" x14ac:dyDescent="0.25">
      <c r="A11" s="71"/>
      <c r="B11" s="72"/>
      <c r="C11" s="72"/>
      <c r="D11" s="72"/>
      <c r="E11" s="169">
        <f t="shared" si="0"/>
        <v>0</v>
      </c>
    </row>
    <row r="12" spans="1:5" ht="13.5" thickBot="1" x14ac:dyDescent="0.25">
      <c r="A12" s="170" t="s">
        <v>149</v>
      </c>
      <c r="B12" s="171">
        <f>B5+SUM(B7:B11)</f>
        <v>214128350</v>
      </c>
      <c r="C12" s="171">
        <f>C5+SUM(C7:C11)</f>
        <v>0</v>
      </c>
      <c r="D12" s="171">
        <f>D5+SUM(D7:D11)</f>
        <v>0</v>
      </c>
      <c r="E12" s="172">
        <f>E5+SUM(E7:E11)</f>
        <v>214128350</v>
      </c>
    </row>
    <row r="13" spans="1:5" ht="13.5" thickBot="1" x14ac:dyDescent="0.25">
      <c r="A13" s="45"/>
      <c r="B13" s="45"/>
      <c r="C13" s="45"/>
      <c r="D13" s="45"/>
      <c r="E13" s="45"/>
    </row>
    <row r="14" spans="1:5" ht="15" customHeight="1" thickBot="1" x14ac:dyDescent="0.25">
      <c r="A14" s="161" t="s">
        <v>148</v>
      </c>
      <c r="B14" s="162" t="s">
        <v>736</v>
      </c>
      <c r="C14" s="162">
        <v>2018</v>
      </c>
      <c r="D14" s="162" t="s">
        <v>737</v>
      </c>
      <c r="E14" s="163" t="s">
        <v>64</v>
      </c>
    </row>
    <row r="15" spans="1:5" x14ac:dyDescent="0.2">
      <c r="A15" s="164" t="s">
        <v>152</v>
      </c>
      <c r="B15" s="68"/>
      <c r="C15" s="68"/>
      <c r="D15" s="68"/>
      <c r="E15" s="165">
        <f t="shared" ref="E15:E21" si="1">SUM(B15:D15)</f>
        <v>0</v>
      </c>
    </row>
    <row r="16" spans="1:5" x14ac:dyDescent="0.2">
      <c r="A16" s="173" t="s">
        <v>153</v>
      </c>
      <c r="B16" s="562"/>
      <c r="C16" s="70">
        <v>193808881</v>
      </c>
      <c r="D16" s="70"/>
      <c r="E16" s="169">
        <f t="shared" si="1"/>
        <v>193808881</v>
      </c>
    </row>
    <row r="17" spans="1:5" x14ac:dyDescent="0.2">
      <c r="A17" s="168" t="s">
        <v>154</v>
      </c>
      <c r="B17" s="70"/>
      <c r="C17" s="70">
        <v>20319470</v>
      </c>
      <c r="D17" s="70"/>
      <c r="E17" s="169">
        <f t="shared" si="1"/>
        <v>20319470</v>
      </c>
    </row>
    <row r="18" spans="1:5" x14ac:dyDescent="0.2">
      <c r="A18" s="168" t="s">
        <v>155</v>
      </c>
      <c r="B18" s="70"/>
      <c r="C18" s="70"/>
      <c r="D18" s="70"/>
      <c r="E18" s="169">
        <f t="shared" si="1"/>
        <v>0</v>
      </c>
    </row>
    <row r="19" spans="1:5" x14ac:dyDescent="0.2">
      <c r="A19" s="73" t="s">
        <v>713</v>
      </c>
      <c r="B19" s="70"/>
      <c r="C19" s="70"/>
      <c r="D19" s="70"/>
      <c r="E19" s="169">
        <f t="shared" si="1"/>
        <v>0</v>
      </c>
    </row>
    <row r="20" spans="1:5" x14ac:dyDescent="0.2">
      <c r="A20" s="73"/>
      <c r="B20" s="70"/>
      <c r="C20" s="70"/>
      <c r="D20" s="70"/>
      <c r="E20" s="169">
        <f t="shared" si="1"/>
        <v>0</v>
      </c>
    </row>
    <row r="21" spans="1:5" ht="13.5" thickBot="1" x14ac:dyDescent="0.25">
      <c r="A21" s="71"/>
      <c r="B21" s="72"/>
      <c r="C21" s="72"/>
      <c r="D21" s="72"/>
      <c r="E21" s="169">
        <f t="shared" si="1"/>
        <v>0</v>
      </c>
    </row>
    <row r="22" spans="1:5" ht="13.5" thickBot="1" x14ac:dyDescent="0.25">
      <c r="A22" s="170" t="s">
        <v>66</v>
      </c>
      <c r="B22" s="171">
        <f>SUM(B15:B21)</f>
        <v>0</v>
      </c>
      <c r="C22" s="171">
        <f>SUM(C15:C21)</f>
        <v>214128351</v>
      </c>
      <c r="D22" s="171">
        <f>SUM(D15:D21)</f>
        <v>0</v>
      </c>
      <c r="E22" s="172">
        <f>SUM(E15:E21)</f>
        <v>214128351</v>
      </c>
    </row>
    <row r="23" spans="1:5" x14ac:dyDescent="0.2">
      <c r="A23" s="160"/>
      <c r="B23" s="160"/>
      <c r="C23" s="160"/>
      <c r="D23" s="160"/>
      <c r="E23" s="160"/>
    </row>
    <row r="24" spans="1:5" ht="34.5" customHeight="1" x14ac:dyDescent="0.25">
      <c r="A24" s="1214" t="s">
        <v>844</v>
      </c>
      <c r="B24" s="1214"/>
      <c r="C24" s="1214"/>
      <c r="D24" s="1214"/>
      <c r="E24" s="1214"/>
    </row>
    <row r="25" spans="1:5" ht="14.25" thickBot="1" x14ac:dyDescent="0.3">
      <c r="A25" s="160"/>
      <c r="B25" s="160"/>
      <c r="C25" s="160"/>
      <c r="D25" s="1215" t="s">
        <v>702</v>
      </c>
      <c r="E25" s="1215"/>
    </row>
    <row r="26" spans="1:5" ht="13.5" thickBot="1" x14ac:dyDescent="0.25">
      <c r="A26" s="161" t="s">
        <v>143</v>
      </c>
      <c r="B26" s="162" t="s">
        <v>736</v>
      </c>
      <c r="C26" s="162">
        <v>2018</v>
      </c>
      <c r="D26" s="162" t="s">
        <v>737</v>
      </c>
      <c r="E26" s="163" t="s">
        <v>64</v>
      </c>
    </row>
    <row r="27" spans="1:5" x14ac:dyDescent="0.2">
      <c r="A27" s="164" t="s">
        <v>144</v>
      </c>
      <c r="B27" s="68"/>
      <c r="C27" s="68"/>
      <c r="D27" s="68"/>
      <c r="E27" s="165">
        <f t="shared" ref="E27:E33" si="2">SUM(B27:D27)</f>
        <v>0</v>
      </c>
    </row>
    <row r="28" spans="1:5" x14ac:dyDescent="0.2">
      <c r="A28" s="166" t="s">
        <v>156</v>
      </c>
      <c r="B28" s="69"/>
      <c r="C28" s="69"/>
      <c r="D28" s="69"/>
      <c r="E28" s="167">
        <f t="shared" si="2"/>
        <v>0</v>
      </c>
    </row>
    <row r="29" spans="1:5" x14ac:dyDescent="0.2">
      <c r="A29" s="168" t="s">
        <v>145</v>
      </c>
      <c r="B29" s="70">
        <v>9000000</v>
      </c>
      <c r="C29" s="70"/>
      <c r="D29" s="70"/>
      <c r="E29" s="169">
        <f t="shared" si="2"/>
        <v>9000000</v>
      </c>
    </row>
    <row r="30" spans="1:5" x14ac:dyDescent="0.2">
      <c r="A30" s="168" t="s">
        <v>157</v>
      </c>
      <c r="B30" s="70"/>
      <c r="C30" s="70"/>
      <c r="D30" s="70"/>
      <c r="E30" s="169">
        <f t="shared" si="2"/>
        <v>0</v>
      </c>
    </row>
    <row r="31" spans="1:5" x14ac:dyDescent="0.2">
      <c r="A31" s="168" t="s">
        <v>146</v>
      </c>
      <c r="B31" s="384"/>
      <c r="C31" s="70"/>
      <c r="D31" s="70"/>
      <c r="E31" s="169">
        <f t="shared" si="2"/>
        <v>0</v>
      </c>
    </row>
    <row r="32" spans="1:5" x14ac:dyDescent="0.2">
      <c r="A32" s="168" t="s">
        <v>147</v>
      </c>
      <c r="B32" s="70"/>
      <c r="C32" s="70"/>
      <c r="D32" s="70"/>
      <c r="E32" s="169">
        <f t="shared" si="2"/>
        <v>0</v>
      </c>
    </row>
    <row r="33" spans="1:8" ht="13.5" thickBot="1" x14ac:dyDescent="0.25">
      <c r="A33" s="71"/>
      <c r="B33" s="72"/>
      <c r="C33" s="72"/>
      <c r="D33" s="72"/>
      <c r="E33" s="169">
        <f t="shared" si="2"/>
        <v>0</v>
      </c>
    </row>
    <row r="34" spans="1:8" ht="13.5" thickBot="1" x14ac:dyDescent="0.25">
      <c r="A34" s="170" t="s">
        <v>149</v>
      </c>
      <c r="B34" s="171">
        <f>B27+SUM(B29:B33)</f>
        <v>9000000</v>
      </c>
      <c r="C34" s="171">
        <f>C27+SUM(C29:C33)</f>
        <v>0</v>
      </c>
      <c r="D34" s="171">
        <f>D27+SUM(D29:D33)</f>
        <v>0</v>
      </c>
      <c r="E34" s="172">
        <f>E27+SUM(E29:E33)</f>
        <v>9000000</v>
      </c>
    </row>
    <row r="35" spans="1:8" ht="13.5" thickBot="1" x14ac:dyDescent="0.25">
      <c r="A35" s="45"/>
      <c r="B35" s="45"/>
      <c r="C35" s="45"/>
      <c r="D35" s="45"/>
      <c r="E35" s="45"/>
    </row>
    <row r="36" spans="1:8" ht="13.5" thickBot="1" x14ac:dyDescent="0.25">
      <c r="A36" s="161" t="s">
        <v>148</v>
      </c>
      <c r="B36" s="162" t="s">
        <v>736</v>
      </c>
      <c r="C36" s="162">
        <v>2018</v>
      </c>
      <c r="D36" s="162" t="s">
        <v>737</v>
      </c>
      <c r="E36" s="163" t="s">
        <v>64</v>
      </c>
    </row>
    <row r="37" spans="1:8" x14ac:dyDescent="0.2">
      <c r="A37" s="164" t="s">
        <v>845</v>
      </c>
      <c r="B37" s="68"/>
      <c r="C37" s="68">
        <v>270000</v>
      </c>
      <c r="D37" s="68"/>
      <c r="E37" s="165">
        <f t="shared" ref="E37:E43" si="3">SUM(B37:D37)</f>
        <v>270000</v>
      </c>
    </row>
    <row r="38" spans="1:8" x14ac:dyDescent="0.2">
      <c r="A38" s="173" t="s">
        <v>153</v>
      </c>
      <c r="B38" s="70">
        <v>2160000</v>
      </c>
      <c r="C38" s="70"/>
      <c r="D38" s="70"/>
      <c r="E38" s="169">
        <f t="shared" si="3"/>
        <v>2160000</v>
      </c>
    </row>
    <row r="39" spans="1:8" x14ac:dyDescent="0.2">
      <c r="A39" s="168" t="s">
        <v>154</v>
      </c>
      <c r="B39" s="70">
        <v>3115000</v>
      </c>
      <c r="C39" s="70">
        <v>3386130</v>
      </c>
      <c r="D39" s="70"/>
      <c r="E39" s="169">
        <f t="shared" si="3"/>
        <v>6501130</v>
      </c>
    </row>
    <row r="40" spans="1:8" x14ac:dyDescent="0.2">
      <c r="A40" s="168" t="s">
        <v>155</v>
      </c>
      <c r="B40" s="70"/>
      <c r="C40" s="70"/>
      <c r="D40" s="70"/>
      <c r="E40" s="169">
        <f t="shared" si="3"/>
        <v>0</v>
      </c>
    </row>
    <row r="41" spans="1:8" x14ac:dyDescent="0.2">
      <c r="A41" s="73" t="s">
        <v>713</v>
      </c>
      <c r="B41" s="70"/>
      <c r="C41" s="70"/>
      <c r="D41" s="70">
        <v>68870</v>
      </c>
      <c r="E41" s="169">
        <f t="shared" si="3"/>
        <v>68870</v>
      </c>
    </row>
    <row r="42" spans="1:8" x14ac:dyDescent="0.2">
      <c r="A42" s="862"/>
      <c r="B42" s="562"/>
      <c r="C42" s="70"/>
      <c r="D42" s="70"/>
      <c r="E42" s="169">
        <f t="shared" si="3"/>
        <v>0</v>
      </c>
    </row>
    <row r="43" spans="1:8" ht="13.5" thickBot="1" x14ac:dyDescent="0.25">
      <c r="A43" s="71"/>
      <c r="B43" s="72"/>
      <c r="C43" s="72"/>
      <c r="D43" s="72"/>
      <c r="E43" s="169">
        <f t="shared" si="3"/>
        <v>0</v>
      </c>
    </row>
    <row r="44" spans="1:8" ht="13.5" thickBot="1" x14ac:dyDescent="0.25">
      <c r="A44" s="170" t="s">
        <v>66</v>
      </c>
      <c r="B44" s="863">
        <f>SUM(B37:B43)</f>
        <v>5275000</v>
      </c>
      <c r="C44" s="863">
        <f>SUM(C37:C43)</f>
        <v>3656130</v>
      </c>
      <c r="D44" s="863">
        <f>SUM(D37:D43)</f>
        <v>68870</v>
      </c>
      <c r="E44" s="864">
        <f>SUM(E37:E43)</f>
        <v>9000000</v>
      </c>
    </row>
    <row r="45" spans="1:8" x14ac:dyDescent="0.2">
      <c r="A45" s="160"/>
      <c r="B45" s="160"/>
      <c r="C45" s="160"/>
      <c r="D45" s="160"/>
      <c r="E45" s="160"/>
    </row>
    <row r="46" spans="1:8" ht="15.75" x14ac:dyDescent="0.2">
      <c r="A46" s="1216" t="s">
        <v>759</v>
      </c>
      <c r="B46" s="1216"/>
      <c r="C46" s="1216"/>
      <c r="D46" s="1216"/>
      <c r="E46" s="1216"/>
    </row>
    <row r="47" spans="1:8" ht="13.5" thickBot="1" x14ac:dyDescent="0.25">
      <c r="A47" s="160"/>
      <c r="B47" s="160"/>
      <c r="C47" s="160"/>
      <c r="D47" s="160"/>
      <c r="E47" s="160"/>
    </row>
    <row r="48" spans="1:8" ht="13.5" thickBot="1" x14ac:dyDescent="0.25">
      <c r="A48" s="1209" t="s">
        <v>150</v>
      </c>
      <c r="B48" s="1210"/>
      <c r="C48" s="1211"/>
      <c r="D48" s="1212" t="s">
        <v>703</v>
      </c>
      <c r="E48" s="1213"/>
      <c r="H48" s="44"/>
    </row>
    <row r="49" spans="1:5" x14ac:dyDescent="0.2">
      <c r="A49" s="1194"/>
      <c r="B49" s="1195"/>
      <c r="C49" s="1196"/>
      <c r="D49" s="1197"/>
      <c r="E49" s="1198"/>
    </row>
    <row r="50" spans="1:5" ht="13.5" thickBot="1" x14ac:dyDescent="0.25">
      <c r="A50" s="1199"/>
      <c r="B50" s="1200"/>
      <c r="C50" s="1201"/>
      <c r="D50" s="1202"/>
      <c r="E50" s="1203"/>
    </row>
    <row r="51" spans="1:5" ht="13.5" thickBot="1" x14ac:dyDescent="0.25">
      <c r="A51" s="1204" t="s">
        <v>66</v>
      </c>
      <c r="B51" s="1205"/>
      <c r="C51" s="1206"/>
      <c r="D51" s="1207">
        <f>SUM(D49:E50)</f>
        <v>0</v>
      </c>
      <c r="E51" s="1208"/>
    </row>
  </sheetData>
  <mergeCells count="13">
    <mergeCell ref="A49:C49"/>
    <mergeCell ref="D49:E49"/>
    <mergeCell ref="A50:C50"/>
    <mergeCell ref="D50:E50"/>
    <mergeCell ref="A51:C51"/>
    <mergeCell ref="D51:E51"/>
    <mergeCell ref="A48:C48"/>
    <mergeCell ref="D48:E48"/>
    <mergeCell ref="A2:E2"/>
    <mergeCell ref="D3:E3"/>
    <mergeCell ref="A24:E24"/>
    <mergeCell ref="D25:E25"/>
    <mergeCell ref="A46:E46"/>
  </mergeCells>
  <conditionalFormatting sqref="E27:E34 B34:D34 E37:E44 B44:D44 D51:E51 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8.2. melléklet a ../....(.....)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topLeftCell="A34" zoomScaleNormal="100" zoomScaleSheetLayoutView="85" workbookViewId="0">
      <selection activeCell="J55" sqref="J55"/>
    </sheetView>
  </sheetViews>
  <sheetFormatPr defaultColWidth="9.33203125" defaultRowHeight="12.75" x14ac:dyDescent="0.2"/>
  <cols>
    <col min="1" max="1" width="38.6640625" style="43" customWidth="1"/>
    <col min="2" max="5" width="13.83203125" style="43" customWidth="1"/>
    <col min="6" max="16384" width="9.33203125" style="43"/>
  </cols>
  <sheetData>
    <row r="1" spans="1:5" x14ac:dyDescent="0.2">
      <c r="A1" s="160"/>
      <c r="B1" s="160"/>
      <c r="C1" s="160"/>
      <c r="D1" s="160"/>
      <c r="E1" s="160"/>
    </row>
    <row r="2" spans="1:5" ht="68.25" customHeight="1" x14ac:dyDescent="0.25">
      <c r="A2" s="1214" t="s">
        <v>847</v>
      </c>
      <c r="B2" s="1214"/>
      <c r="C2" s="1214"/>
      <c r="D2" s="1214"/>
      <c r="E2" s="1214"/>
    </row>
    <row r="3" spans="1:5" ht="14.25" thickBot="1" x14ac:dyDescent="0.3">
      <c r="A3" s="160"/>
      <c r="B3" s="160"/>
      <c r="C3" s="160"/>
      <c r="D3" s="1215" t="s">
        <v>702</v>
      </c>
      <c r="E3" s="1215"/>
    </row>
    <row r="4" spans="1:5" ht="15" customHeight="1" thickBot="1" x14ac:dyDescent="0.25">
      <c r="A4" s="161" t="s">
        <v>143</v>
      </c>
      <c r="B4" s="162" t="s">
        <v>736</v>
      </c>
      <c r="C4" s="162">
        <v>2018</v>
      </c>
      <c r="D4" s="162" t="s">
        <v>737</v>
      </c>
      <c r="E4" s="163" t="s">
        <v>64</v>
      </c>
    </row>
    <row r="5" spans="1:5" x14ac:dyDescent="0.2">
      <c r="A5" s="164" t="s">
        <v>144</v>
      </c>
      <c r="B5" s="68"/>
      <c r="C5" s="68"/>
      <c r="D5" s="68"/>
      <c r="E5" s="165">
        <f t="shared" ref="E5:E11" si="0">SUM(B5:D5)</f>
        <v>0</v>
      </c>
    </row>
    <row r="6" spans="1:5" x14ac:dyDescent="0.2">
      <c r="A6" s="166" t="s">
        <v>156</v>
      </c>
      <c r="B6" s="69"/>
      <c r="C6" s="69"/>
      <c r="D6" s="69"/>
      <c r="E6" s="167">
        <f t="shared" si="0"/>
        <v>0</v>
      </c>
    </row>
    <row r="7" spans="1:5" x14ac:dyDescent="0.2">
      <c r="A7" s="168" t="s">
        <v>145</v>
      </c>
      <c r="B7" s="70">
        <v>18932847</v>
      </c>
      <c r="C7" s="70"/>
      <c r="D7" s="70">
        <v>370000</v>
      </c>
      <c r="E7" s="169">
        <f t="shared" si="0"/>
        <v>19302847</v>
      </c>
    </row>
    <row r="8" spans="1:5" x14ac:dyDescent="0.2">
      <c r="A8" s="168" t="s">
        <v>157</v>
      </c>
      <c r="B8" s="70"/>
      <c r="C8" s="70"/>
      <c r="D8" s="70"/>
      <c r="E8" s="169">
        <f t="shared" si="0"/>
        <v>0</v>
      </c>
    </row>
    <row r="9" spans="1:5" x14ac:dyDescent="0.2">
      <c r="A9" s="168" t="s">
        <v>146</v>
      </c>
      <c r="B9" s="70"/>
      <c r="C9" s="70"/>
      <c r="D9" s="70"/>
      <c r="E9" s="169">
        <f t="shared" si="0"/>
        <v>0</v>
      </c>
    </row>
    <row r="10" spans="1:5" x14ac:dyDescent="0.2">
      <c r="A10" s="168" t="s">
        <v>147</v>
      </c>
      <c r="B10" s="70"/>
      <c r="C10" s="70"/>
      <c r="D10" s="70"/>
      <c r="E10" s="169">
        <f t="shared" si="0"/>
        <v>0</v>
      </c>
    </row>
    <row r="11" spans="1:5" ht="13.5" thickBot="1" x14ac:dyDescent="0.25">
      <c r="A11" s="71"/>
      <c r="B11" s="72"/>
      <c r="C11" s="72"/>
      <c r="D11" s="72"/>
      <c r="E11" s="169">
        <f t="shared" si="0"/>
        <v>0</v>
      </c>
    </row>
    <row r="12" spans="1:5" ht="13.5" thickBot="1" x14ac:dyDescent="0.25">
      <c r="A12" s="170" t="s">
        <v>149</v>
      </c>
      <c r="B12" s="863">
        <f>B5+SUM(B7:B11)</f>
        <v>18932847</v>
      </c>
      <c r="C12" s="863">
        <f>C5+SUM(C7:C11)</f>
        <v>0</v>
      </c>
      <c r="D12" s="863">
        <f>D5+SUM(D7:D11)</f>
        <v>370000</v>
      </c>
      <c r="E12" s="864">
        <f>E5+SUM(E7:E11)</f>
        <v>19302847</v>
      </c>
    </row>
    <row r="13" spans="1:5" ht="13.5" thickBot="1" x14ac:dyDescent="0.25">
      <c r="A13" s="45"/>
      <c r="B13" s="45"/>
      <c r="C13" s="45"/>
      <c r="D13" s="45"/>
      <c r="E13" s="45"/>
    </row>
    <row r="14" spans="1:5" ht="15" customHeight="1" thickBot="1" x14ac:dyDescent="0.25">
      <c r="A14" s="161" t="s">
        <v>148</v>
      </c>
      <c r="B14" s="162" t="s">
        <v>736</v>
      </c>
      <c r="C14" s="162">
        <v>2018</v>
      </c>
      <c r="D14" s="162" t="s">
        <v>737</v>
      </c>
      <c r="E14" s="163" t="s">
        <v>64</v>
      </c>
    </row>
    <row r="15" spans="1:5" x14ac:dyDescent="0.2">
      <c r="A15" s="164" t="s">
        <v>152</v>
      </c>
      <c r="B15" s="1007">
        <v>504360</v>
      </c>
      <c r="C15" s="1007">
        <v>5884316</v>
      </c>
      <c r="D15" s="1007">
        <v>1801376</v>
      </c>
      <c r="E15" s="1008">
        <f t="shared" ref="E15:E21" si="1">SUM(B15:D15)</f>
        <v>8190052</v>
      </c>
    </row>
    <row r="16" spans="1:5" x14ac:dyDescent="0.2">
      <c r="A16" s="173" t="s">
        <v>153</v>
      </c>
      <c r="B16" s="1009">
        <f>357200+12500</f>
        <v>369700</v>
      </c>
      <c r="C16" s="1009">
        <f>2072918+461299+124550</f>
        <v>2658767</v>
      </c>
      <c r="D16" s="1009">
        <v>0</v>
      </c>
      <c r="E16" s="1010">
        <f t="shared" si="1"/>
        <v>3028467</v>
      </c>
    </row>
    <row r="17" spans="1:5" x14ac:dyDescent="0.2">
      <c r="A17" s="168" t="s">
        <v>154</v>
      </c>
      <c r="B17" s="1009">
        <v>165000</v>
      </c>
      <c r="C17" s="1009">
        <v>5665552</v>
      </c>
      <c r="D17" s="1009">
        <v>125876</v>
      </c>
      <c r="E17" s="1010">
        <f t="shared" si="1"/>
        <v>5956428</v>
      </c>
    </row>
    <row r="18" spans="1:5" x14ac:dyDescent="0.2">
      <c r="A18" s="168" t="s">
        <v>155</v>
      </c>
      <c r="B18" s="1009">
        <v>71920</v>
      </c>
      <c r="C18" s="1009">
        <v>1552330</v>
      </c>
      <c r="D18" s="1009">
        <v>133650</v>
      </c>
      <c r="E18" s="1010">
        <f t="shared" si="1"/>
        <v>1757900</v>
      </c>
    </row>
    <row r="19" spans="1:5" x14ac:dyDescent="0.2">
      <c r="A19" s="73" t="s">
        <v>713</v>
      </c>
      <c r="B19" s="1009"/>
      <c r="C19" s="1009"/>
      <c r="D19" s="1009">
        <v>370000</v>
      </c>
      <c r="E19" s="1010">
        <f t="shared" si="1"/>
        <v>370000</v>
      </c>
    </row>
    <row r="20" spans="1:5" x14ac:dyDescent="0.2">
      <c r="A20" s="73"/>
      <c r="B20" s="1009"/>
      <c r="C20" s="1009"/>
      <c r="D20" s="1009"/>
      <c r="E20" s="1010">
        <f t="shared" si="1"/>
        <v>0</v>
      </c>
    </row>
    <row r="21" spans="1:5" ht="13.5" thickBot="1" x14ac:dyDescent="0.25">
      <c r="A21" s="71"/>
      <c r="B21" s="1011"/>
      <c r="C21" s="1011"/>
      <c r="D21" s="1011"/>
      <c r="E21" s="1010">
        <f t="shared" si="1"/>
        <v>0</v>
      </c>
    </row>
    <row r="22" spans="1:5" ht="13.5" thickBot="1" x14ac:dyDescent="0.25">
      <c r="A22" s="170" t="s">
        <v>66</v>
      </c>
      <c r="B22" s="863">
        <f>SUM(B15:B21)</f>
        <v>1110980</v>
      </c>
      <c r="C22" s="863">
        <f>SUM(C15:C21)</f>
        <v>15760965</v>
      </c>
      <c r="D22" s="863">
        <f>SUM(D15:D21)</f>
        <v>2430902</v>
      </c>
      <c r="E22" s="864">
        <f>SUM(E15:E21)</f>
        <v>19302847</v>
      </c>
    </row>
    <row r="23" spans="1:5" x14ac:dyDescent="0.2">
      <c r="A23" s="160"/>
      <c r="B23" s="160"/>
      <c r="C23" s="160"/>
      <c r="D23" s="160"/>
      <c r="E23" s="160"/>
    </row>
    <row r="24" spans="1:5" ht="34.5" customHeight="1" x14ac:dyDescent="0.25">
      <c r="A24" s="1214" t="s">
        <v>738</v>
      </c>
      <c r="B24" s="1214"/>
      <c r="C24" s="1214"/>
      <c r="D24" s="1214"/>
      <c r="E24" s="1214"/>
    </row>
    <row r="25" spans="1:5" ht="14.25" thickBot="1" x14ac:dyDescent="0.3">
      <c r="A25" s="160"/>
      <c r="B25" s="160"/>
      <c r="C25" s="160"/>
      <c r="D25" s="1215" t="s">
        <v>702</v>
      </c>
      <c r="E25" s="1215"/>
    </row>
    <row r="26" spans="1:5" ht="13.5" thickBot="1" x14ac:dyDescent="0.25">
      <c r="A26" s="161" t="s">
        <v>143</v>
      </c>
      <c r="B26" s="162" t="s">
        <v>736</v>
      </c>
      <c r="C26" s="162">
        <v>2018</v>
      </c>
      <c r="D26" s="162" t="s">
        <v>737</v>
      </c>
      <c r="E26" s="163" t="s">
        <v>64</v>
      </c>
    </row>
    <row r="27" spans="1:5" x14ac:dyDescent="0.2">
      <c r="A27" s="164" t="s">
        <v>144</v>
      </c>
      <c r="B27" s="68"/>
      <c r="C27" s="68"/>
      <c r="D27" s="68"/>
      <c r="E27" s="165">
        <f t="shared" ref="E27:E33" si="2">SUM(B27:D27)</f>
        <v>0</v>
      </c>
    </row>
    <row r="28" spans="1:5" x14ac:dyDescent="0.2">
      <c r="A28" s="166" t="s">
        <v>156</v>
      </c>
      <c r="B28" s="69"/>
      <c r="C28" s="69"/>
      <c r="D28" s="69"/>
      <c r="E28" s="167">
        <f t="shared" si="2"/>
        <v>0</v>
      </c>
    </row>
    <row r="29" spans="1:5" x14ac:dyDescent="0.2">
      <c r="A29" s="168" t="s">
        <v>145</v>
      </c>
      <c r="B29" s="70"/>
      <c r="C29" s="70"/>
      <c r="D29" s="70"/>
      <c r="E29" s="169">
        <f t="shared" si="2"/>
        <v>0</v>
      </c>
    </row>
    <row r="30" spans="1:5" x14ac:dyDescent="0.2">
      <c r="A30" s="168" t="s">
        <v>157</v>
      </c>
      <c r="B30" s="70"/>
      <c r="C30" s="70"/>
      <c r="D30" s="70"/>
      <c r="E30" s="169">
        <f t="shared" si="2"/>
        <v>0</v>
      </c>
    </row>
    <row r="31" spans="1:5" x14ac:dyDescent="0.2">
      <c r="A31" s="168" t="s">
        <v>146</v>
      </c>
      <c r="B31" s="384"/>
      <c r="C31" s="70"/>
      <c r="D31" s="70"/>
      <c r="E31" s="169">
        <f t="shared" si="2"/>
        <v>0</v>
      </c>
    </row>
    <row r="32" spans="1:5" x14ac:dyDescent="0.2">
      <c r="A32" s="168" t="s">
        <v>147</v>
      </c>
      <c r="B32" s="70"/>
      <c r="C32" s="70"/>
      <c r="D32" s="70"/>
      <c r="E32" s="169">
        <f t="shared" si="2"/>
        <v>0</v>
      </c>
    </row>
    <row r="33" spans="1:8" ht="13.5" thickBot="1" x14ac:dyDescent="0.25">
      <c r="A33" s="71"/>
      <c r="B33" s="72"/>
      <c r="C33" s="72"/>
      <c r="D33" s="72"/>
      <c r="E33" s="169">
        <f t="shared" si="2"/>
        <v>0</v>
      </c>
    </row>
    <row r="34" spans="1:8" ht="13.5" thickBot="1" x14ac:dyDescent="0.25">
      <c r="A34" s="170" t="s">
        <v>149</v>
      </c>
      <c r="B34" s="171">
        <f>B27+SUM(B29:B33)</f>
        <v>0</v>
      </c>
      <c r="C34" s="171">
        <f>C27+SUM(C29:C33)</f>
        <v>0</v>
      </c>
      <c r="D34" s="171">
        <f>D27+SUM(D29:D33)</f>
        <v>0</v>
      </c>
      <c r="E34" s="172">
        <f>E27+SUM(E29:E33)</f>
        <v>0</v>
      </c>
    </row>
    <row r="35" spans="1:8" ht="13.5" thickBot="1" x14ac:dyDescent="0.25">
      <c r="A35" s="45"/>
      <c r="B35" s="45"/>
      <c r="C35" s="45"/>
      <c r="D35" s="45"/>
      <c r="E35" s="45"/>
    </row>
    <row r="36" spans="1:8" ht="13.5" thickBot="1" x14ac:dyDescent="0.25">
      <c r="A36" s="161" t="s">
        <v>148</v>
      </c>
      <c r="B36" s="162" t="s">
        <v>736</v>
      </c>
      <c r="C36" s="162">
        <v>2018</v>
      </c>
      <c r="D36" s="162" t="s">
        <v>737</v>
      </c>
      <c r="E36" s="163" t="s">
        <v>64</v>
      </c>
    </row>
    <row r="37" spans="1:8" x14ac:dyDescent="0.2">
      <c r="A37" s="164" t="s">
        <v>152</v>
      </c>
      <c r="B37" s="68"/>
      <c r="C37" s="68"/>
      <c r="D37" s="68"/>
      <c r="E37" s="165">
        <f t="shared" ref="E37:E43" si="3">SUM(B37:D37)</f>
        <v>0</v>
      </c>
    </row>
    <row r="38" spans="1:8" x14ac:dyDescent="0.2">
      <c r="A38" s="173" t="s">
        <v>153</v>
      </c>
      <c r="B38" s="70"/>
      <c r="C38" s="70"/>
      <c r="D38" s="70"/>
      <c r="E38" s="169">
        <f t="shared" si="3"/>
        <v>0</v>
      </c>
    </row>
    <row r="39" spans="1:8" x14ac:dyDescent="0.2">
      <c r="A39" s="168" t="s">
        <v>154</v>
      </c>
      <c r="B39" s="70"/>
      <c r="C39" s="70"/>
      <c r="D39" s="70"/>
      <c r="E39" s="169">
        <f t="shared" si="3"/>
        <v>0</v>
      </c>
    </row>
    <row r="40" spans="1:8" x14ac:dyDescent="0.2">
      <c r="A40" s="168" t="s">
        <v>155</v>
      </c>
      <c r="B40" s="70"/>
      <c r="C40" s="70"/>
      <c r="D40" s="70"/>
      <c r="E40" s="169">
        <f t="shared" si="3"/>
        <v>0</v>
      </c>
    </row>
    <row r="41" spans="1:8" x14ac:dyDescent="0.2">
      <c r="A41" s="73" t="s">
        <v>713</v>
      </c>
      <c r="B41" s="70"/>
      <c r="C41" s="70"/>
      <c r="D41" s="70"/>
      <c r="E41" s="169">
        <f t="shared" si="3"/>
        <v>0</v>
      </c>
    </row>
    <row r="42" spans="1:8" x14ac:dyDescent="0.2">
      <c r="A42" s="73" t="s">
        <v>728</v>
      </c>
      <c r="B42" s="562"/>
      <c r="C42" s="70"/>
      <c r="D42" s="70"/>
      <c r="E42" s="169">
        <f t="shared" si="3"/>
        <v>0</v>
      </c>
    </row>
    <row r="43" spans="1:8" ht="13.5" thickBot="1" x14ac:dyDescent="0.25">
      <c r="A43" s="71"/>
      <c r="B43" s="72"/>
      <c r="C43" s="72"/>
      <c r="D43" s="72"/>
      <c r="E43" s="169">
        <f t="shared" si="3"/>
        <v>0</v>
      </c>
    </row>
    <row r="44" spans="1:8" ht="13.5" thickBot="1" x14ac:dyDescent="0.25">
      <c r="A44" s="170" t="s">
        <v>66</v>
      </c>
      <c r="B44" s="863">
        <f>SUM(B37:B43)</f>
        <v>0</v>
      </c>
      <c r="C44" s="863">
        <f>SUM(C37:C43)</f>
        <v>0</v>
      </c>
      <c r="D44" s="863">
        <f>SUM(D37:D43)</f>
        <v>0</v>
      </c>
      <c r="E44" s="864">
        <f>SUM(E37:E43)</f>
        <v>0</v>
      </c>
    </row>
    <row r="45" spans="1:8" x14ac:dyDescent="0.2">
      <c r="A45" s="160"/>
      <c r="B45" s="160"/>
      <c r="C45" s="160"/>
      <c r="D45" s="160"/>
      <c r="E45" s="160"/>
    </row>
    <row r="46" spans="1:8" ht="15.75" x14ac:dyDescent="0.2">
      <c r="A46" s="1216" t="s">
        <v>848</v>
      </c>
      <c r="B46" s="1216"/>
      <c r="C46" s="1216"/>
      <c r="D46" s="1216"/>
      <c r="E46" s="1216"/>
    </row>
    <row r="47" spans="1:8" ht="13.5" thickBot="1" x14ac:dyDescent="0.25">
      <c r="A47" s="160"/>
      <c r="B47" s="160"/>
      <c r="C47" s="160"/>
      <c r="D47" s="160"/>
      <c r="E47" s="160"/>
    </row>
    <row r="48" spans="1:8" ht="13.5" thickBot="1" x14ac:dyDescent="0.25">
      <c r="A48" s="1209" t="s">
        <v>150</v>
      </c>
      <c r="B48" s="1210"/>
      <c r="C48" s="1211"/>
      <c r="D48" s="1212" t="s">
        <v>703</v>
      </c>
      <c r="E48" s="1213"/>
      <c r="H48" s="44"/>
    </row>
    <row r="49" spans="1:5" x14ac:dyDescent="0.2">
      <c r="A49" s="1194"/>
      <c r="B49" s="1195"/>
      <c r="C49" s="1196"/>
      <c r="D49" s="1197"/>
      <c r="E49" s="1198"/>
    </row>
    <row r="50" spans="1:5" ht="13.5" thickBot="1" x14ac:dyDescent="0.25">
      <c r="A50" s="1199"/>
      <c r="B50" s="1200"/>
      <c r="C50" s="1201"/>
      <c r="D50" s="1202"/>
      <c r="E50" s="1203"/>
    </row>
    <row r="51" spans="1:5" ht="13.5" thickBot="1" x14ac:dyDescent="0.25">
      <c r="A51" s="1204" t="s">
        <v>66</v>
      </c>
      <c r="B51" s="1205"/>
      <c r="C51" s="1206"/>
      <c r="D51" s="1207">
        <f>SUM(D49:E50)</f>
        <v>0</v>
      </c>
      <c r="E51" s="1208"/>
    </row>
  </sheetData>
  <mergeCells count="13">
    <mergeCell ref="A49:C49"/>
    <mergeCell ref="D49:E49"/>
    <mergeCell ref="A50:C50"/>
    <mergeCell ref="D50:E50"/>
    <mergeCell ref="A51:C51"/>
    <mergeCell ref="D51:E51"/>
    <mergeCell ref="A48:C48"/>
    <mergeCell ref="D48:E48"/>
    <mergeCell ref="A2:E2"/>
    <mergeCell ref="D3:E3"/>
    <mergeCell ref="A24:E24"/>
    <mergeCell ref="D25:E25"/>
    <mergeCell ref="A46:E46"/>
  </mergeCells>
  <conditionalFormatting sqref="E27:E34 B34:D34 E37:E44 B44:D44 D51:E51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89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8.3. melléklet a ../....(.....)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1" sqref="D1:H1048576"/>
    </sheetView>
  </sheetViews>
  <sheetFormatPr defaultRowHeight="12.75" x14ac:dyDescent="0.2"/>
  <cols>
    <col min="1" max="1" width="19.5" style="786" customWidth="1"/>
    <col min="2" max="2" width="72" style="787" customWidth="1"/>
    <col min="3" max="3" width="25" style="788" customWidth="1"/>
    <col min="4" max="4" width="14.1640625" style="772" hidden="1" customWidth="1"/>
    <col min="5" max="5" width="14.6640625" style="772" hidden="1" customWidth="1"/>
    <col min="6" max="6" width="16.6640625" style="773" hidden="1" customWidth="1"/>
    <col min="7" max="7" width="11.83203125" style="773" hidden="1" customWidth="1"/>
    <col min="8" max="8" width="11.83203125" style="772" hidden="1" customWidth="1"/>
    <col min="9" max="16384" width="9.33203125" style="2"/>
  </cols>
  <sheetData>
    <row r="1" spans="1:8" s="1" customFormat="1" ht="16.5" customHeight="1" thickBot="1" x14ac:dyDescent="0.25">
      <c r="A1" s="174"/>
      <c r="B1" s="176"/>
      <c r="C1" s="199"/>
      <c r="D1" s="772"/>
      <c r="E1" s="772"/>
      <c r="F1" s="773"/>
      <c r="G1" s="773"/>
      <c r="H1" s="772"/>
    </row>
    <row r="2" spans="1:8" s="74" customFormat="1" ht="21" customHeight="1" x14ac:dyDescent="0.2">
      <c r="A2" s="309" t="s">
        <v>76</v>
      </c>
      <c r="B2" s="282" t="s">
        <v>232</v>
      </c>
      <c r="C2" s="284" t="s">
        <v>67</v>
      </c>
      <c r="D2" s="774"/>
      <c r="E2" s="775"/>
      <c r="F2" s="776"/>
      <c r="G2" s="776"/>
      <c r="H2" s="775"/>
    </row>
    <row r="3" spans="1:8" s="74" customFormat="1" ht="16.5" thickBot="1" x14ac:dyDescent="0.25">
      <c r="A3" s="177" t="s">
        <v>209</v>
      </c>
      <c r="B3" s="283" t="s">
        <v>413</v>
      </c>
      <c r="C3" s="403" t="s">
        <v>67</v>
      </c>
      <c r="D3" s="775"/>
      <c r="E3" s="775"/>
      <c r="F3" s="776"/>
      <c r="G3" s="776"/>
      <c r="H3" s="775"/>
    </row>
    <row r="4" spans="1:8" s="75" customFormat="1" ht="15.95" customHeight="1" thickBot="1" x14ac:dyDescent="0.3">
      <c r="A4" s="178"/>
      <c r="B4" s="178"/>
      <c r="C4" s="179" t="s">
        <v>688</v>
      </c>
      <c r="D4" s="775"/>
      <c r="E4" s="775"/>
      <c r="F4" s="776"/>
      <c r="G4" s="776"/>
      <c r="H4" s="775"/>
    </row>
    <row r="5" spans="1:8" ht="13.5" thickBot="1" x14ac:dyDescent="0.25">
      <c r="A5" s="310" t="s">
        <v>211</v>
      </c>
      <c r="B5" s="180" t="s">
        <v>68</v>
      </c>
      <c r="C5" s="285" t="s">
        <v>69</v>
      </c>
    </row>
    <row r="6" spans="1:8" s="52" customFormat="1" ht="12.95" customHeight="1" thickBot="1" x14ac:dyDescent="0.25">
      <c r="A6" s="145" t="s">
        <v>546</v>
      </c>
      <c r="B6" s="146" t="s">
        <v>547</v>
      </c>
      <c r="C6" s="147" t="s">
        <v>548</v>
      </c>
      <c r="D6" s="777"/>
      <c r="E6" s="777"/>
      <c r="F6" s="773"/>
      <c r="G6" s="773"/>
      <c r="H6" s="777"/>
    </row>
    <row r="7" spans="1:8" s="52" customFormat="1" ht="15.95" customHeight="1" thickBot="1" x14ac:dyDescent="0.25">
      <c r="A7" s="182"/>
      <c r="B7" s="183" t="s">
        <v>70</v>
      </c>
      <c r="C7" s="286"/>
      <c r="D7" s="777"/>
      <c r="E7" s="777"/>
      <c r="F7" s="773"/>
      <c r="G7" s="773"/>
      <c r="H7" s="777"/>
    </row>
    <row r="8" spans="1:8" s="52" customFormat="1" ht="12" customHeight="1" thickBot="1" x14ac:dyDescent="0.25">
      <c r="A8" s="31" t="s">
        <v>31</v>
      </c>
      <c r="B8" s="20" t="s">
        <v>260</v>
      </c>
      <c r="C8" s="233">
        <f>+C9+C10+C11+C12+C13+C14</f>
        <v>1317581468</v>
      </c>
      <c r="D8" s="777">
        <f>'9.1.1. sz. mell. '!C8+'9.1.2. sz. mell.'!C8</f>
        <v>1317581468</v>
      </c>
      <c r="E8" s="777">
        <f>'9.1.1. sz. mell. '!C8+'9.1.2. sz. mell.'!C8</f>
        <v>1317581468</v>
      </c>
      <c r="F8" s="778">
        <f>'9.1.1. sz. mell. '!C8+'9.1.2. sz. mell.'!C8</f>
        <v>1317581468</v>
      </c>
      <c r="G8" s="778">
        <f>C8-F8</f>
        <v>0</v>
      </c>
      <c r="H8" s="777">
        <f>C8-D8</f>
        <v>0</v>
      </c>
    </row>
    <row r="9" spans="1:8" s="76" customFormat="1" ht="12" customHeight="1" x14ac:dyDescent="0.2">
      <c r="A9" s="333" t="s">
        <v>114</v>
      </c>
      <c r="B9" s="319" t="s">
        <v>261</v>
      </c>
      <c r="C9" s="357">
        <v>227855923</v>
      </c>
      <c r="D9" s="777">
        <f>'9.1.1. sz. mell. '!C9+'9.1.2. sz. mell.'!C9</f>
        <v>227855923</v>
      </c>
      <c r="E9" s="777">
        <f>'9.1.1. sz. mell. '!C9+'9.1.2. sz. mell.'!C9</f>
        <v>227855923</v>
      </c>
      <c r="F9" s="779">
        <f>'9.1.1. sz. mell. '!C9+'9.1.2. sz. mell.'!C9</f>
        <v>227855923</v>
      </c>
      <c r="G9" s="780">
        <f t="shared" ref="G9:G72" si="0">C9-F9</f>
        <v>0</v>
      </c>
      <c r="H9" s="777">
        <f t="shared" ref="H9:H72" si="1">C9-D9</f>
        <v>0</v>
      </c>
    </row>
    <row r="10" spans="1:8" s="77" customFormat="1" ht="12" customHeight="1" x14ac:dyDescent="0.2">
      <c r="A10" s="334" t="s">
        <v>115</v>
      </c>
      <c r="B10" s="320" t="s">
        <v>262</v>
      </c>
      <c r="C10" s="237">
        <v>224734134</v>
      </c>
      <c r="D10" s="777">
        <f>'9.1.1. sz. mell. '!C10+'9.1.2. sz. mell.'!C10</f>
        <v>224734134</v>
      </c>
      <c r="E10" s="777">
        <f>'9.1.1. sz. mell. '!C10+'9.1.2. sz. mell.'!C10</f>
        <v>224734134</v>
      </c>
      <c r="F10" s="781">
        <f>'9.1.1. sz. mell. '!C10+'9.1.2. sz. mell.'!C10</f>
        <v>224734134</v>
      </c>
      <c r="G10" s="782">
        <f t="shared" si="0"/>
        <v>0</v>
      </c>
      <c r="H10" s="777">
        <f t="shared" si="1"/>
        <v>0</v>
      </c>
    </row>
    <row r="11" spans="1:8" s="77" customFormat="1" ht="12" customHeight="1" x14ac:dyDescent="0.2">
      <c r="A11" s="334" t="s">
        <v>116</v>
      </c>
      <c r="B11" s="320" t="s">
        <v>263</v>
      </c>
      <c r="C11" s="237">
        <f>126991000+65060600+119410000+192410145+62092600</f>
        <v>565964345</v>
      </c>
      <c r="D11" s="777">
        <f>'9.1.1. sz. mell. '!C11+'9.1.2. sz. mell.'!C11</f>
        <v>565964345</v>
      </c>
      <c r="E11" s="777">
        <f>'9.1.1. sz. mell. '!C11+'9.1.2. sz. mell.'!C11</f>
        <v>565964345</v>
      </c>
      <c r="F11" s="781">
        <f>'9.1.1. sz. mell. '!C11+'9.1.2. sz. mell.'!C11</f>
        <v>565964345</v>
      </c>
      <c r="G11" s="782">
        <f t="shared" si="0"/>
        <v>0</v>
      </c>
      <c r="H11" s="777">
        <f t="shared" si="1"/>
        <v>0</v>
      </c>
    </row>
    <row r="12" spans="1:8" s="77" customFormat="1" ht="12" customHeight="1" x14ac:dyDescent="0.2">
      <c r="A12" s="334" t="s">
        <v>117</v>
      </c>
      <c r="B12" s="320" t="s">
        <v>264</v>
      </c>
      <c r="C12" s="237">
        <f>16122040+12622000</f>
        <v>28744040</v>
      </c>
      <c r="D12" s="777">
        <f>'9.1.1. sz. mell. '!C12+'9.1.2. sz. mell.'!C12</f>
        <v>28744040</v>
      </c>
      <c r="E12" s="777">
        <f>'9.1.1. sz. mell. '!C12+'9.1.2. sz. mell.'!C12</f>
        <v>28744040</v>
      </c>
      <c r="F12" s="781">
        <f>'9.1.1. sz. mell. '!C12+'9.1.2. sz. mell.'!C12</f>
        <v>28744040</v>
      </c>
      <c r="G12" s="782">
        <f t="shared" si="0"/>
        <v>0</v>
      </c>
      <c r="H12" s="777">
        <f t="shared" si="1"/>
        <v>0</v>
      </c>
    </row>
    <row r="13" spans="1:8" s="77" customFormat="1" ht="12" customHeight="1" x14ac:dyDescent="0.2">
      <c r="A13" s="334" t="s">
        <v>158</v>
      </c>
      <c r="B13" s="320" t="s">
        <v>610</v>
      </c>
      <c r="C13" s="237">
        <f>16254886+63796813+190231327</f>
        <v>270283026</v>
      </c>
      <c r="D13" s="777">
        <f>'9.1.1. sz. mell. '!C13+'9.1.2. sz. mell.'!C13</f>
        <v>270283026</v>
      </c>
      <c r="E13" s="777">
        <f>'9.1.1. sz. mell. '!C13+'9.1.2. sz. mell.'!C13</f>
        <v>270283026</v>
      </c>
      <c r="F13" s="781">
        <f>'9.1.1. sz. mell. '!C13+'9.1.2. sz. mell.'!C13</f>
        <v>270283026</v>
      </c>
      <c r="G13" s="782">
        <f t="shared" si="0"/>
        <v>0</v>
      </c>
      <c r="H13" s="777">
        <f t="shared" si="1"/>
        <v>0</v>
      </c>
    </row>
    <row r="14" spans="1:8" s="76" customFormat="1" ht="12" customHeight="1" thickBot="1" x14ac:dyDescent="0.25">
      <c r="A14" s="335" t="s">
        <v>118</v>
      </c>
      <c r="B14" s="321" t="s">
        <v>550</v>
      </c>
      <c r="C14" s="237"/>
      <c r="D14" s="777">
        <f>'9.1.1. sz. mell. '!C14+'9.1.2. sz. mell.'!C14</f>
        <v>0</v>
      </c>
      <c r="E14" s="777">
        <f>'9.1.1. sz. mell. '!C14+'9.1.2. sz. mell.'!C14</f>
        <v>0</v>
      </c>
      <c r="F14" s="783">
        <f>'9.1.1. sz. mell. '!C14+'9.1.2. sz. mell.'!C14</f>
        <v>0</v>
      </c>
      <c r="G14" s="784">
        <f t="shared" si="0"/>
        <v>0</v>
      </c>
      <c r="H14" s="777">
        <f t="shared" si="1"/>
        <v>0</v>
      </c>
    </row>
    <row r="15" spans="1:8" s="76" customFormat="1" ht="12" customHeight="1" thickBot="1" x14ac:dyDescent="0.25">
      <c r="A15" s="31" t="s">
        <v>32</v>
      </c>
      <c r="B15" s="228" t="s">
        <v>265</v>
      </c>
      <c r="C15" s="233">
        <f>+C16+C17+C18+C19+C20</f>
        <v>158357110</v>
      </c>
      <c r="D15" s="777">
        <f>'9.1.1. sz. mell. '!C15+'9.1.2. sz. mell.'!C15</f>
        <v>158357110</v>
      </c>
      <c r="E15" s="777">
        <f>'9.1.1. sz. mell. '!C15+'9.1.2. sz. mell.'!C15</f>
        <v>158357110</v>
      </c>
      <c r="F15" s="778">
        <f>'9.1.1. sz. mell. '!C15+'9.1.2. sz. mell.'!C15</f>
        <v>158357110</v>
      </c>
      <c r="G15" s="778">
        <f t="shared" si="0"/>
        <v>0</v>
      </c>
      <c r="H15" s="777">
        <f t="shared" si="1"/>
        <v>0</v>
      </c>
    </row>
    <row r="16" spans="1:8" s="76" customFormat="1" ht="12" customHeight="1" x14ac:dyDescent="0.2">
      <c r="A16" s="333" t="s">
        <v>120</v>
      </c>
      <c r="B16" s="319" t="s">
        <v>266</v>
      </c>
      <c r="C16" s="235"/>
      <c r="D16" s="777">
        <f>'9.1.1. sz. mell. '!C16+'9.1.2. sz. mell.'!C16</f>
        <v>0</v>
      </c>
      <c r="E16" s="777">
        <f>'9.1.1. sz. mell. '!C16+'9.1.2. sz. mell.'!C16</f>
        <v>0</v>
      </c>
      <c r="F16" s="779">
        <f>'9.1.1. sz. mell. '!C16+'9.1.2. sz. mell.'!C16</f>
        <v>0</v>
      </c>
      <c r="G16" s="780">
        <f t="shared" si="0"/>
        <v>0</v>
      </c>
      <c r="H16" s="777">
        <f t="shared" si="1"/>
        <v>0</v>
      </c>
    </row>
    <row r="17" spans="1:8" s="76" customFormat="1" ht="12" customHeight="1" x14ac:dyDescent="0.2">
      <c r="A17" s="334" t="s">
        <v>121</v>
      </c>
      <c r="B17" s="320" t="s">
        <v>267</v>
      </c>
      <c r="C17" s="234"/>
      <c r="D17" s="777">
        <f>'9.1.1. sz. mell. '!C17+'9.1.2. sz. mell.'!C17</f>
        <v>0</v>
      </c>
      <c r="E17" s="777">
        <f>'9.1.1. sz. mell. '!C17+'9.1.2. sz. mell.'!C17</f>
        <v>0</v>
      </c>
      <c r="F17" s="781">
        <f>'9.1.1. sz. mell. '!C17+'9.1.2. sz. mell.'!C17</f>
        <v>0</v>
      </c>
      <c r="G17" s="782">
        <f t="shared" si="0"/>
        <v>0</v>
      </c>
      <c r="H17" s="777">
        <f t="shared" si="1"/>
        <v>0</v>
      </c>
    </row>
    <row r="18" spans="1:8" s="76" customFormat="1" ht="12" customHeight="1" x14ac:dyDescent="0.2">
      <c r="A18" s="334" t="s">
        <v>122</v>
      </c>
      <c r="B18" s="320" t="s">
        <v>436</v>
      </c>
      <c r="C18" s="237"/>
      <c r="D18" s="777">
        <f>'9.1.1. sz. mell. '!C18+'9.1.2. sz. mell.'!C18</f>
        <v>0</v>
      </c>
      <c r="E18" s="777">
        <f>'9.1.1. sz. mell. '!C18+'9.1.2. sz. mell.'!C18</f>
        <v>0</v>
      </c>
      <c r="F18" s="781">
        <f>'9.1.1. sz. mell. '!C18+'9.1.2. sz. mell.'!C18</f>
        <v>0</v>
      </c>
      <c r="G18" s="782">
        <f t="shared" si="0"/>
        <v>0</v>
      </c>
      <c r="H18" s="777">
        <f t="shared" si="1"/>
        <v>0</v>
      </c>
    </row>
    <row r="19" spans="1:8" s="76" customFormat="1" ht="12" customHeight="1" x14ac:dyDescent="0.2">
      <c r="A19" s="334" t="s">
        <v>123</v>
      </c>
      <c r="B19" s="320" t="s">
        <v>437</v>
      </c>
      <c r="C19" s="237"/>
      <c r="D19" s="777">
        <f>'9.1.1. sz. mell. '!C19+'9.1.2. sz. mell.'!C19</f>
        <v>0</v>
      </c>
      <c r="E19" s="777">
        <f>'9.1.1. sz. mell. '!C19+'9.1.2. sz. mell.'!C19</f>
        <v>0</v>
      </c>
      <c r="F19" s="781">
        <f>'9.1.1. sz. mell. '!C19+'9.1.2. sz. mell.'!C19</f>
        <v>0</v>
      </c>
      <c r="G19" s="782">
        <f t="shared" si="0"/>
        <v>0</v>
      </c>
      <c r="H19" s="777">
        <f t="shared" si="1"/>
        <v>0</v>
      </c>
    </row>
    <row r="20" spans="1:8" s="76" customFormat="1" ht="12" customHeight="1" x14ac:dyDescent="0.2">
      <c r="A20" s="334" t="s">
        <v>124</v>
      </c>
      <c r="B20" s="320" t="s">
        <v>268</v>
      </c>
      <c r="C20" s="416">
        <f>3900000+4320000+125887110+24250000</f>
        <v>158357110</v>
      </c>
      <c r="D20" s="777">
        <f>'9.1.1. sz. mell. '!C20+'9.1.2. sz. mell.'!C20</f>
        <v>158357110</v>
      </c>
      <c r="E20" s="777">
        <f>'9.1.1. sz. mell. '!C20+'9.1.2. sz. mell.'!C20</f>
        <v>158357110</v>
      </c>
      <c r="F20" s="781">
        <f>'9.1.1. sz. mell. '!C20+'9.1.2. sz. mell.'!C20</f>
        <v>158357110</v>
      </c>
      <c r="G20" s="782">
        <f t="shared" si="0"/>
        <v>0</v>
      </c>
      <c r="H20" s="777">
        <f t="shared" si="1"/>
        <v>0</v>
      </c>
    </row>
    <row r="21" spans="1:8" s="77" customFormat="1" ht="12" customHeight="1" thickBot="1" x14ac:dyDescent="0.25">
      <c r="A21" s="335" t="s">
        <v>133</v>
      </c>
      <c r="B21" s="321" t="s">
        <v>269</v>
      </c>
      <c r="C21" s="308"/>
      <c r="D21" s="777">
        <f>'9.1.1. sz. mell. '!C21+'9.1.2. sz. mell.'!C21</f>
        <v>0</v>
      </c>
      <c r="E21" s="777">
        <f>'9.1.1. sz. mell. '!C21+'9.1.2. sz. mell.'!C21</f>
        <v>0</v>
      </c>
      <c r="F21" s="783">
        <f>'9.1.1. sz. mell. '!C21+'9.1.2. sz. mell.'!C21</f>
        <v>0</v>
      </c>
      <c r="G21" s="784">
        <f t="shared" si="0"/>
        <v>0</v>
      </c>
      <c r="H21" s="777">
        <f t="shared" si="1"/>
        <v>0</v>
      </c>
    </row>
    <row r="22" spans="1:8" s="77" customFormat="1" ht="12" customHeight="1" thickBot="1" x14ac:dyDescent="0.25">
      <c r="A22" s="31" t="s">
        <v>33</v>
      </c>
      <c r="B22" s="20" t="s">
        <v>270</v>
      </c>
      <c r="C22" s="233">
        <f>+C23+C24+C25+C26+C27</f>
        <v>13442271</v>
      </c>
      <c r="D22" s="777">
        <f>'9.1.1. sz. mell. '!C22+'9.1.2. sz. mell.'!C22</f>
        <v>13442271</v>
      </c>
      <c r="E22" s="777">
        <f>'9.1.1. sz. mell. '!C22+'9.1.2. sz. mell.'!C22</f>
        <v>13442271</v>
      </c>
      <c r="F22" s="778">
        <f>'9.1.1. sz. mell. '!C22+'9.1.2. sz. mell.'!C22</f>
        <v>13442271</v>
      </c>
      <c r="G22" s="778">
        <f t="shared" si="0"/>
        <v>0</v>
      </c>
      <c r="H22" s="777">
        <f t="shared" si="1"/>
        <v>0</v>
      </c>
    </row>
    <row r="23" spans="1:8" s="77" customFormat="1" ht="12" customHeight="1" x14ac:dyDescent="0.2">
      <c r="A23" s="333" t="s">
        <v>103</v>
      </c>
      <c r="B23" s="319" t="s">
        <v>271</v>
      </c>
      <c r="C23" s="357"/>
      <c r="D23" s="777">
        <f>'9.1.1. sz. mell. '!C23+'9.1.2. sz. mell.'!C23</f>
        <v>0</v>
      </c>
      <c r="E23" s="777">
        <f>'9.1.1. sz. mell. '!C23+'9.1.2. sz. mell.'!C23</f>
        <v>0</v>
      </c>
      <c r="F23" s="779">
        <f>'9.1.1. sz. mell. '!C23+'9.1.2. sz. mell.'!C23</f>
        <v>0</v>
      </c>
      <c r="G23" s="780">
        <f t="shared" si="0"/>
        <v>0</v>
      </c>
      <c r="H23" s="777">
        <f t="shared" si="1"/>
        <v>0</v>
      </c>
    </row>
    <row r="24" spans="1:8" s="76" customFormat="1" ht="12" customHeight="1" x14ac:dyDescent="0.2">
      <c r="A24" s="334" t="s">
        <v>104</v>
      </c>
      <c r="B24" s="320" t="s">
        <v>272</v>
      </c>
      <c r="C24" s="237"/>
      <c r="D24" s="777">
        <f>'9.1.1. sz. mell. '!C24+'9.1.2. sz. mell.'!C24</f>
        <v>0</v>
      </c>
      <c r="E24" s="777">
        <f>'9.1.1. sz. mell. '!C24+'9.1.2. sz. mell.'!C24</f>
        <v>0</v>
      </c>
      <c r="F24" s="781">
        <f>'9.1.1. sz. mell. '!C24+'9.1.2. sz. mell.'!C24</f>
        <v>0</v>
      </c>
      <c r="G24" s="782">
        <f t="shared" si="0"/>
        <v>0</v>
      </c>
      <c r="H24" s="777">
        <f t="shared" si="1"/>
        <v>0</v>
      </c>
    </row>
    <row r="25" spans="1:8" s="77" customFormat="1" ht="12" customHeight="1" x14ac:dyDescent="0.2">
      <c r="A25" s="334" t="s">
        <v>105</v>
      </c>
      <c r="B25" s="320" t="s">
        <v>438</v>
      </c>
      <c r="C25" s="237"/>
      <c r="D25" s="777">
        <f>'9.1.1. sz. mell. '!C25+'9.1.2. sz. mell.'!C25</f>
        <v>0</v>
      </c>
      <c r="E25" s="777">
        <f>'9.1.1. sz. mell. '!C25+'9.1.2. sz. mell.'!C25</f>
        <v>0</v>
      </c>
      <c r="F25" s="781">
        <f>'9.1.1. sz. mell. '!C25+'9.1.2. sz. mell.'!C25</f>
        <v>0</v>
      </c>
      <c r="G25" s="782">
        <f t="shared" si="0"/>
        <v>0</v>
      </c>
      <c r="H25" s="777">
        <f t="shared" si="1"/>
        <v>0</v>
      </c>
    </row>
    <row r="26" spans="1:8" s="77" customFormat="1" ht="12" customHeight="1" x14ac:dyDescent="0.2">
      <c r="A26" s="334" t="s">
        <v>106</v>
      </c>
      <c r="B26" s="320" t="s">
        <v>439</v>
      </c>
      <c r="C26" s="237"/>
      <c r="D26" s="777">
        <f>'9.1.1. sz. mell. '!C26+'9.1.2. sz. mell.'!C26</f>
        <v>0</v>
      </c>
      <c r="E26" s="777">
        <f>'9.1.1. sz. mell. '!C26+'9.1.2. sz. mell.'!C26</f>
        <v>0</v>
      </c>
      <c r="F26" s="781">
        <f>'9.1.1. sz. mell. '!C26+'9.1.2. sz. mell.'!C26</f>
        <v>0</v>
      </c>
      <c r="G26" s="782">
        <f t="shared" si="0"/>
        <v>0</v>
      </c>
      <c r="H26" s="777">
        <f t="shared" si="1"/>
        <v>0</v>
      </c>
    </row>
    <row r="27" spans="1:8" s="77" customFormat="1" ht="12" customHeight="1" x14ac:dyDescent="0.2">
      <c r="A27" s="334" t="s">
        <v>178</v>
      </c>
      <c r="B27" s="320" t="s">
        <v>273</v>
      </c>
      <c r="C27" s="411">
        <f>5866130+3779393+3796748</f>
        <v>13442271</v>
      </c>
      <c r="D27" s="777">
        <f>'9.1.1. sz. mell. '!C27+'9.1.2. sz. mell.'!C27</f>
        <v>13442271</v>
      </c>
      <c r="E27" s="777">
        <f>'9.1.1. sz. mell. '!C27+'9.1.2. sz. mell.'!C27</f>
        <v>13442271</v>
      </c>
      <c r="F27" s="781">
        <f>'9.1.1. sz. mell. '!C27+'9.1.2. sz. mell.'!C27</f>
        <v>13442271</v>
      </c>
      <c r="G27" s="782">
        <f t="shared" si="0"/>
        <v>0</v>
      </c>
      <c r="H27" s="777">
        <f t="shared" si="1"/>
        <v>0</v>
      </c>
    </row>
    <row r="28" spans="1:8" s="77" customFormat="1" ht="12" customHeight="1" thickBot="1" x14ac:dyDescent="0.25">
      <c r="A28" s="335" t="s">
        <v>179</v>
      </c>
      <c r="B28" s="321" t="s">
        <v>274</v>
      </c>
      <c r="C28" s="308">
        <v>13442271</v>
      </c>
      <c r="D28" s="777">
        <f>'9.1.1. sz. mell. '!C28+'9.1.2. sz. mell.'!C28</f>
        <v>13442271</v>
      </c>
      <c r="E28" s="777">
        <f>'9.1.1. sz. mell. '!C28+'9.1.2. sz. mell.'!C28</f>
        <v>13442271</v>
      </c>
      <c r="F28" s="783">
        <f>'9.1.1. sz. mell. '!C28+'9.1.2. sz. mell.'!C28</f>
        <v>13442271</v>
      </c>
      <c r="G28" s="784">
        <f t="shared" si="0"/>
        <v>0</v>
      </c>
      <c r="H28" s="777">
        <f t="shared" si="1"/>
        <v>0</v>
      </c>
    </row>
    <row r="29" spans="1:8" s="77" customFormat="1" ht="12" customHeight="1" thickBot="1" x14ac:dyDescent="0.25">
      <c r="A29" s="31" t="s">
        <v>180</v>
      </c>
      <c r="B29" s="20" t="s">
        <v>275</v>
      </c>
      <c r="C29" s="238">
        <f>+C30+C34+C35+C36</f>
        <v>352658000</v>
      </c>
      <c r="D29" s="777">
        <f>'9.1.1. sz. mell. '!C29+'9.1.2. sz. mell.'!C29</f>
        <v>352658000</v>
      </c>
      <c r="E29" s="777">
        <f>'9.1.1. sz. mell. '!C29+'9.1.2. sz. mell.'!C29</f>
        <v>352658000</v>
      </c>
      <c r="F29" s="778">
        <f>'9.1.1. sz. mell. '!C29+'9.1.2. sz. mell.'!C29</f>
        <v>352658000</v>
      </c>
      <c r="G29" s="778">
        <f t="shared" si="0"/>
        <v>0</v>
      </c>
      <c r="H29" s="777">
        <f t="shared" si="1"/>
        <v>0</v>
      </c>
    </row>
    <row r="30" spans="1:8" s="77" customFormat="1" ht="12" customHeight="1" x14ac:dyDescent="0.2">
      <c r="A30" s="333" t="s">
        <v>276</v>
      </c>
      <c r="B30" s="319" t="s">
        <v>611</v>
      </c>
      <c r="C30" s="314">
        <f>SUM(C31:C33)</f>
        <v>308654000</v>
      </c>
      <c r="D30" s="777">
        <f>'9.1.1. sz. mell. '!C30+'9.1.2. sz. mell.'!C30</f>
        <v>308654000</v>
      </c>
      <c r="E30" s="777">
        <f>'9.1.1. sz. mell. '!C30+'9.1.2. sz. mell.'!C30</f>
        <v>308654000</v>
      </c>
      <c r="F30" s="779">
        <f>'9.1.1. sz. mell. '!C30+'9.1.2. sz. mell.'!C30</f>
        <v>308654000</v>
      </c>
      <c r="G30" s="780">
        <f t="shared" si="0"/>
        <v>0</v>
      </c>
      <c r="H30" s="777">
        <f t="shared" si="1"/>
        <v>0</v>
      </c>
    </row>
    <row r="31" spans="1:8" s="77" customFormat="1" ht="12" customHeight="1" x14ac:dyDescent="0.2">
      <c r="A31" s="334" t="s">
        <v>277</v>
      </c>
      <c r="B31" s="320" t="s">
        <v>282</v>
      </c>
      <c r="C31" s="217">
        <f>7500000+70000000</f>
        <v>77500000</v>
      </c>
      <c r="D31" s="777">
        <f>'9.1.1. sz. mell. '!C31+'9.1.2. sz. mell.'!C31</f>
        <v>77500000</v>
      </c>
      <c r="E31" s="777">
        <f>'9.1.1. sz. mell. '!C31+'9.1.2. sz. mell.'!C31</f>
        <v>77500000</v>
      </c>
      <c r="F31" s="781">
        <f>'9.1.1. sz. mell. '!C31+'9.1.2. sz. mell.'!C31</f>
        <v>77500000</v>
      </c>
      <c r="G31" s="782">
        <f t="shared" si="0"/>
        <v>0</v>
      </c>
      <c r="H31" s="777">
        <f t="shared" si="1"/>
        <v>0</v>
      </c>
    </row>
    <row r="32" spans="1:8" s="77" customFormat="1" ht="12" customHeight="1" x14ac:dyDescent="0.2">
      <c r="A32" s="334" t="s">
        <v>278</v>
      </c>
      <c r="B32" s="320" t="s">
        <v>658</v>
      </c>
      <c r="C32" s="217">
        <v>231154000</v>
      </c>
      <c r="D32" s="777">
        <f>'9.1.1. sz. mell. '!C32+'9.1.2. sz. mell.'!C32</f>
        <v>231154000</v>
      </c>
      <c r="E32" s="777">
        <f>'9.1.1. sz. mell. '!C32+'9.1.2. sz. mell.'!C32</f>
        <v>231154000</v>
      </c>
      <c r="F32" s="781">
        <f>'9.1.1. sz. mell. '!C32+'9.1.2. sz. mell.'!C32</f>
        <v>231154000</v>
      </c>
      <c r="G32" s="782">
        <f t="shared" si="0"/>
        <v>0</v>
      </c>
      <c r="H32" s="777">
        <f t="shared" si="1"/>
        <v>0</v>
      </c>
    </row>
    <row r="33" spans="1:8" s="77" customFormat="1" ht="12" customHeight="1" x14ac:dyDescent="0.2">
      <c r="A33" s="334" t="s">
        <v>552</v>
      </c>
      <c r="B33" s="320" t="s">
        <v>655</v>
      </c>
      <c r="C33" s="411"/>
      <c r="D33" s="777">
        <f>'9.1.1. sz. mell. '!C33+'9.1.2. sz. mell.'!C33</f>
        <v>0</v>
      </c>
      <c r="E33" s="777">
        <f>'9.1.1. sz. mell. '!C33+'9.1.2. sz. mell.'!C33</f>
        <v>0</v>
      </c>
      <c r="F33" s="781">
        <f>'9.1.1. sz. mell. '!C33+'9.1.2. sz. mell.'!C33</f>
        <v>0</v>
      </c>
      <c r="G33" s="782">
        <f t="shared" si="0"/>
        <v>0</v>
      </c>
      <c r="H33" s="777">
        <f t="shared" si="1"/>
        <v>0</v>
      </c>
    </row>
    <row r="34" spans="1:8" s="77" customFormat="1" ht="12" customHeight="1" x14ac:dyDescent="0.2">
      <c r="A34" s="334" t="s">
        <v>279</v>
      </c>
      <c r="B34" s="320" t="s">
        <v>284</v>
      </c>
      <c r="C34" s="217">
        <v>28000000</v>
      </c>
      <c r="D34" s="777">
        <f>'9.1.1. sz. mell. '!C34+'9.1.2. sz. mell.'!C34</f>
        <v>28000000</v>
      </c>
      <c r="E34" s="777">
        <f>'9.1.1. sz. mell. '!C34+'9.1.2. sz. mell.'!C34</f>
        <v>28000000</v>
      </c>
      <c r="F34" s="781">
        <f>'9.1.1. sz. mell. '!C34+'9.1.2. sz. mell.'!C34</f>
        <v>28000000</v>
      </c>
      <c r="G34" s="782">
        <f t="shared" si="0"/>
        <v>0</v>
      </c>
      <c r="H34" s="777">
        <f t="shared" si="1"/>
        <v>0</v>
      </c>
    </row>
    <row r="35" spans="1:8" s="77" customFormat="1" ht="12" customHeight="1" x14ac:dyDescent="0.2">
      <c r="A35" s="334" t="s">
        <v>280</v>
      </c>
      <c r="B35" s="320" t="s">
        <v>285</v>
      </c>
      <c r="C35" s="217">
        <f>4000+4500000</f>
        <v>4504000</v>
      </c>
      <c r="D35" s="777">
        <f>'9.1.1. sz. mell. '!C35+'9.1.2. sz. mell.'!C35</f>
        <v>4504000</v>
      </c>
      <c r="E35" s="777">
        <f>'9.1.1. sz. mell. '!C35+'9.1.2. sz. mell.'!C35</f>
        <v>4504000</v>
      </c>
      <c r="F35" s="781">
        <f>'9.1.1. sz. mell. '!C35+'9.1.2. sz. mell.'!C35</f>
        <v>4504000</v>
      </c>
      <c r="G35" s="782">
        <f t="shared" si="0"/>
        <v>0</v>
      </c>
      <c r="H35" s="777">
        <f t="shared" si="1"/>
        <v>0</v>
      </c>
    </row>
    <row r="36" spans="1:8" s="77" customFormat="1" ht="12" customHeight="1" thickBot="1" x14ac:dyDescent="0.25">
      <c r="A36" s="335" t="s">
        <v>281</v>
      </c>
      <c r="B36" s="321" t="s">
        <v>286</v>
      </c>
      <c r="C36" s="415">
        <f>1500000+2000000+1000000+7000000</f>
        <v>11500000</v>
      </c>
      <c r="D36" s="777">
        <f>'9.1.1. sz. mell. '!C36+'9.1.2. sz. mell.'!C36</f>
        <v>11500000</v>
      </c>
      <c r="E36" s="777">
        <f>'9.1.1. sz. mell. '!C36+'9.1.2. sz. mell.'!C36</f>
        <v>11500000</v>
      </c>
      <c r="F36" s="783">
        <f>'9.1.1. sz. mell. '!C36+'9.1.2. sz. mell.'!C36</f>
        <v>11500000</v>
      </c>
      <c r="G36" s="784">
        <f t="shared" si="0"/>
        <v>0</v>
      </c>
      <c r="H36" s="777">
        <f t="shared" si="1"/>
        <v>0</v>
      </c>
    </row>
    <row r="37" spans="1:8" s="77" customFormat="1" ht="12" customHeight="1" thickBot="1" x14ac:dyDescent="0.25">
      <c r="A37" s="31" t="s">
        <v>35</v>
      </c>
      <c r="B37" s="20" t="s">
        <v>554</v>
      </c>
      <c r="C37" s="233">
        <f>SUM(C38:C48)</f>
        <v>40284669</v>
      </c>
      <c r="D37" s="777">
        <f>'9.1.1. sz. mell. '!C37+'9.1.2. sz. mell.'!C37</f>
        <v>40284669</v>
      </c>
      <c r="E37" s="777">
        <f>'9.1.1. sz. mell. '!C37+'9.1.2. sz. mell.'!C37</f>
        <v>40284669</v>
      </c>
      <c r="F37" s="778">
        <f>'9.1.1. sz. mell. '!C37+'9.1.2. sz. mell.'!C37</f>
        <v>40284669</v>
      </c>
      <c r="G37" s="778">
        <f t="shared" si="0"/>
        <v>0</v>
      </c>
      <c r="H37" s="777">
        <f t="shared" si="1"/>
        <v>0</v>
      </c>
    </row>
    <row r="38" spans="1:8" s="77" customFormat="1" ht="12" customHeight="1" x14ac:dyDescent="0.2">
      <c r="A38" s="333" t="s">
        <v>107</v>
      </c>
      <c r="B38" s="319" t="s">
        <v>289</v>
      </c>
      <c r="C38" s="451">
        <v>12159000</v>
      </c>
      <c r="D38" s="777">
        <f>'9.1.1. sz. mell. '!C38+'9.1.2. sz. mell.'!C38</f>
        <v>12159000</v>
      </c>
      <c r="E38" s="777">
        <f>'9.1.1. sz. mell. '!C38+'9.1.2. sz. mell.'!C38</f>
        <v>12159000</v>
      </c>
      <c r="F38" s="779">
        <f>'9.1.1. sz. mell. '!C38+'9.1.2. sz. mell.'!C38</f>
        <v>12159000</v>
      </c>
      <c r="G38" s="780">
        <f t="shared" si="0"/>
        <v>0</v>
      </c>
      <c r="H38" s="777">
        <f t="shared" si="1"/>
        <v>0</v>
      </c>
    </row>
    <row r="39" spans="1:8" s="77" customFormat="1" ht="12" customHeight="1" x14ac:dyDescent="0.2">
      <c r="A39" s="334" t="s">
        <v>108</v>
      </c>
      <c r="B39" s="320" t="s">
        <v>290</v>
      </c>
      <c r="C39" s="411">
        <f>13910169+100000</f>
        <v>14010169</v>
      </c>
      <c r="D39" s="777">
        <f>'9.1.1. sz. mell. '!C39+'9.1.2. sz. mell.'!C39</f>
        <v>14010169</v>
      </c>
      <c r="E39" s="777">
        <f>'9.1.1. sz. mell. '!C39+'9.1.2. sz. mell.'!C39</f>
        <v>14010169</v>
      </c>
      <c r="F39" s="781">
        <f>'9.1.1. sz. mell. '!C39+'9.1.2. sz. mell.'!C39</f>
        <v>14010169</v>
      </c>
      <c r="G39" s="782">
        <f t="shared" si="0"/>
        <v>0</v>
      </c>
      <c r="H39" s="777">
        <f t="shared" si="1"/>
        <v>0</v>
      </c>
    </row>
    <row r="40" spans="1:8" s="77" customFormat="1" ht="12" customHeight="1" x14ac:dyDescent="0.2">
      <c r="A40" s="334" t="s">
        <v>109</v>
      </c>
      <c r="B40" s="320" t="s">
        <v>291</v>
      </c>
      <c r="C40" s="411">
        <f>500000+300000+50000+1400000+947000+300000</f>
        <v>3497000</v>
      </c>
      <c r="D40" s="777">
        <f>'9.1.1. sz. mell. '!C40+'9.1.2. sz. mell.'!C40</f>
        <v>3497000</v>
      </c>
      <c r="E40" s="777">
        <f>'9.1.1. sz. mell. '!C40+'9.1.2. sz. mell.'!C40</f>
        <v>3497000</v>
      </c>
      <c r="F40" s="781">
        <f>'9.1.1. sz. mell. '!C40+'9.1.2. sz. mell.'!C40</f>
        <v>3497000</v>
      </c>
      <c r="G40" s="782">
        <f t="shared" si="0"/>
        <v>0</v>
      </c>
      <c r="H40" s="777">
        <f t="shared" si="1"/>
        <v>0</v>
      </c>
    </row>
    <row r="41" spans="1:8" s="77" customFormat="1" ht="12" customHeight="1" x14ac:dyDescent="0.2">
      <c r="A41" s="334" t="s">
        <v>182</v>
      </c>
      <c r="B41" s="320" t="s">
        <v>292</v>
      </c>
      <c r="C41" s="411">
        <v>430000</v>
      </c>
      <c r="D41" s="777">
        <f>'9.1.1. sz. mell. '!C41+'9.1.2. sz. mell.'!C41</f>
        <v>430000</v>
      </c>
      <c r="E41" s="777">
        <f>'9.1.1. sz. mell. '!C41+'9.1.2. sz. mell.'!C41</f>
        <v>430000</v>
      </c>
      <c r="F41" s="781">
        <f>'9.1.1. sz. mell. '!C41+'9.1.2. sz. mell.'!C41</f>
        <v>430000</v>
      </c>
      <c r="G41" s="782">
        <f t="shared" si="0"/>
        <v>0</v>
      </c>
      <c r="H41" s="777">
        <f t="shared" si="1"/>
        <v>0</v>
      </c>
    </row>
    <row r="42" spans="1:8" s="77" customFormat="1" ht="12" customHeight="1" x14ac:dyDescent="0.2">
      <c r="A42" s="334" t="s">
        <v>183</v>
      </c>
      <c r="B42" s="320" t="s">
        <v>293</v>
      </c>
      <c r="C42" s="411"/>
      <c r="D42" s="777">
        <f>'9.1.1. sz. mell. '!C42+'9.1.2. sz. mell.'!C42</f>
        <v>0</v>
      </c>
      <c r="E42" s="777">
        <f>'9.1.1. sz. mell. '!C42+'9.1.2. sz. mell.'!C42</f>
        <v>0</v>
      </c>
      <c r="F42" s="781">
        <f>'9.1.1. sz. mell. '!C42+'9.1.2. sz. mell.'!C42</f>
        <v>0</v>
      </c>
      <c r="G42" s="782">
        <f t="shared" si="0"/>
        <v>0</v>
      </c>
      <c r="H42" s="777">
        <f t="shared" si="1"/>
        <v>0</v>
      </c>
    </row>
    <row r="43" spans="1:8" s="77" customFormat="1" ht="12" customHeight="1" x14ac:dyDescent="0.2">
      <c r="A43" s="334" t="s">
        <v>184</v>
      </c>
      <c r="B43" s="320" t="s">
        <v>294</v>
      </c>
      <c r="C43" s="411">
        <f>3283000+5162000+81000+13500+378000+81000</f>
        <v>8998500</v>
      </c>
      <c r="D43" s="777">
        <f>'9.1.1. sz. mell. '!C43+'9.1.2. sz. mell.'!C43</f>
        <v>8998500</v>
      </c>
      <c r="E43" s="777">
        <f>'9.1.1. sz. mell. '!C43+'9.1.2. sz. mell.'!C43</f>
        <v>8998500</v>
      </c>
      <c r="F43" s="781">
        <f>'9.1.1. sz. mell. '!C43+'9.1.2. sz. mell.'!C43</f>
        <v>8998500</v>
      </c>
      <c r="G43" s="782">
        <f t="shared" si="0"/>
        <v>0</v>
      </c>
      <c r="H43" s="777">
        <f t="shared" si="1"/>
        <v>0</v>
      </c>
    </row>
    <row r="44" spans="1:8" s="77" customFormat="1" ht="12" customHeight="1" x14ac:dyDescent="0.2">
      <c r="A44" s="334" t="s">
        <v>185</v>
      </c>
      <c r="B44" s="320" t="s">
        <v>295</v>
      </c>
      <c r="C44" s="411"/>
      <c r="D44" s="777">
        <f>'9.1.1. sz. mell. '!C44+'9.1.2. sz. mell.'!C44</f>
        <v>0</v>
      </c>
      <c r="E44" s="777">
        <f>'9.1.1. sz. mell. '!C44+'9.1.2. sz. mell.'!C44</f>
        <v>0</v>
      </c>
      <c r="F44" s="781">
        <f>'9.1.1. sz. mell. '!C44+'9.1.2. sz. mell.'!C44</f>
        <v>0</v>
      </c>
      <c r="G44" s="782">
        <f t="shared" si="0"/>
        <v>0</v>
      </c>
      <c r="H44" s="777">
        <f t="shared" si="1"/>
        <v>0</v>
      </c>
    </row>
    <row r="45" spans="1:8" s="77" customFormat="1" ht="12" customHeight="1" x14ac:dyDescent="0.2">
      <c r="A45" s="334" t="s">
        <v>186</v>
      </c>
      <c r="B45" s="320" t="s">
        <v>296</v>
      </c>
      <c r="C45" s="411">
        <v>30000</v>
      </c>
      <c r="D45" s="777">
        <f>'9.1.1. sz. mell. '!C45+'9.1.2. sz. mell.'!C45</f>
        <v>30000</v>
      </c>
      <c r="E45" s="777">
        <f>'9.1.1. sz. mell. '!C45+'9.1.2. sz. mell.'!C45</f>
        <v>30000</v>
      </c>
      <c r="F45" s="781">
        <f>'9.1.1. sz. mell. '!C45+'9.1.2. sz. mell.'!C45</f>
        <v>30000</v>
      </c>
      <c r="G45" s="782">
        <f t="shared" si="0"/>
        <v>0</v>
      </c>
      <c r="H45" s="777">
        <f t="shared" si="1"/>
        <v>0</v>
      </c>
    </row>
    <row r="46" spans="1:8" s="77" customFormat="1" ht="12" customHeight="1" x14ac:dyDescent="0.2">
      <c r="A46" s="334" t="s">
        <v>287</v>
      </c>
      <c r="B46" s="320" t="s">
        <v>297</v>
      </c>
      <c r="C46" s="411"/>
      <c r="D46" s="777">
        <f>'9.1.1. sz. mell. '!C46+'9.1.2. sz. mell.'!C46</f>
        <v>0</v>
      </c>
      <c r="E46" s="777">
        <f>'9.1.1. sz. mell. '!C46+'9.1.2. sz. mell.'!C46</f>
        <v>0</v>
      </c>
      <c r="F46" s="781">
        <f>'9.1.1. sz. mell. '!C46+'9.1.2. sz. mell.'!C46</f>
        <v>0</v>
      </c>
      <c r="G46" s="782">
        <f t="shared" si="0"/>
        <v>0</v>
      </c>
      <c r="H46" s="777">
        <f t="shared" si="1"/>
        <v>0</v>
      </c>
    </row>
    <row r="47" spans="1:8" s="77" customFormat="1" ht="12" customHeight="1" x14ac:dyDescent="0.2">
      <c r="A47" s="335" t="s">
        <v>288</v>
      </c>
      <c r="B47" s="321" t="s">
        <v>555</v>
      </c>
      <c r="C47" s="415">
        <v>500000</v>
      </c>
      <c r="D47" s="777">
        <f>'9.1.1. sz. mell. '!C47+'9.1.2. sz. mell.'!C47</f>
        <v>500000</v>
      </c>
      <c r="E47" s="777">
        <f>'9.1.1. sz. mell. '!C47+'9.1.2. sz. mell.'!C47</f>
        <v>500000</v>
      </c>
      <c r="F47" s="781">
        <f>'9.1.1. sz. mell. '!C47+'9.1.2. sz. mell.'!C47</f>
        <v>500000</v>
      </c>
      <c r="G47" s="782">
        <f t="shared" si="0"/>
        <v>0</v>
      </c>
      <c r="H47" s="777">
        <f t="shared" si="1"/>
        <v>0</v>
      </c>
    </row>
    <row r="48" spans="1:8" s="77" customFormat="1" ht="12" customHeight="1" thickBot="1" x14ac:dyDescent="0.25">
      <c r="A48" s="335" t="s">
        <v>556</v>
      </c>
      <c r="B48" s="321" t="s">
        <v>298</v>
      </c>
      <c r="C48" s="415">
        <f>60000+600000</f>
        <v>660000</v>
      </c>
      <c r="D48" s="777">
        <f>'9.1.1. sz. mell. '!C48+'9.1.2. sz. mell.'!C48</f>
        <v>660000</v>
      </c>
      <c r="E48" s="777">
        <f>'9.1.1. sz. mell. '!C48+'9.1.2. sz. mell.'!C48</f>
        <v>660000</v>
      </c>
      <c r="F48" s="783">
        <f>'9.1.1. sz. mell. '!C48+'9.1.2. sz. mell.'!C48</f>
        <v>660000</v>
      </c>
      <c r="G48" s="784">
        <f t="shared" si="0"/>
        <v>0</v>
      </c>
      <c r="H48" s="777">
        <f t="shared" si="1"/>
        <v>0</v>
      </c>
    </row>
    <row r="49" spans="1:8" s="77" customFormat="1" ht="12" customHeight="1" thickBot="1" x14ac:dyDescent="0.25">
      <c r="A49" s="31" t="s">
        <v>36</v>
      </c>
      <c r="B49" s="20" t="s">
        <v>299</v>
      </c>
      <c r="C49" s="233">
        <f>SUM(C50:C54)</f>
        <v>30332500</v>
      </c>
      <c r="D49" s="777">
        <f>'9.1.1. sz. mell. '!C49+'9.1.2. sz. mell.'!C49</f>
        <v>30332500</v>
      </c>
      <c r="E49" s="777">
        <f>'9.1.1. sz. mell. '!C49+'9.1.2. sz. mell.'!C49</f>
        <v>30332500</v>
      </c>
      <c r="F49" s="778">
        <f>'9.1.1. sz. mell. '!C49+'9.1.2. sz. mell.'!C49</f>
        <v>30332500</v>
      </c>
      <c r="G49" s="778">
        <f t="shared" si="0"/>
        <v>0</v>
      </c>
      <c r="H49" s="777">
        <f t="shared" si="1"/>
        <v>0</v>
      </c>
    </row>
    <row r="50" spans="1:8" s="77" customFormat="1" ht="12" customHeight="1" x14ac:dyDescent="0.2">
      <c r="A50" s="333" t="s">
        <v>110</v>
      </c>
      <c r="B50" s="319" t="s">
        <v>303</v>
      </c>
      <c r="C50" s="357"/>
      <c r="D50" s="777">
        <f>'9.1.1. sz. mell. '!C50+'9.1.2. sz. mell.'!C50</f>
        <v>0</v>
      </c>
      <c r="E50" s="777">
        <f>'9.1.1. sz. mell. '!C50+'9.1.2. sz. mell.'!C50</f>
        <v>0</v>
      </c>
      <c r="F50" s="779">
        <f>'9.1.1. sz. mell. '!C50+'9.1.2. sz. mell.'!C50</f>
        <v>0</v>
      </c>
      <c r="G50" s="780">
        <f t="shared" si="0"/>
        <v>0</v>
      </c>
      <c r="H50" s="777">
        <f t="shared" si="1"/>
        <v>0</v>
      </c>
    </row>
    <row r="51" spans="1:8" s="77" customFormat="1" ht="12" customHeight="1" x14ac:dyDescent="0.2">
      <c r="A51" s="334" t="s">
        <v>111</v>
      </c>
      <c r="B51" s="320" t="s">
        <v>304</v>
      </c>
      <c r="C51" s="411">
        <v>30332500</v>
      </c>
      <c r="D51" s="777">
        <f>'9.1.1. sz. mell. '!C51+'9.1.2. sz. mell.'!C51</f>
        <v>30332500</v>
      </c>
      <c r="E51" s="777">
        <f>'9.1.1. sz. mell. '!C51+'9.1.2. sz. mell.'!C51</f>
        <v>30332500</v>
      </c>
      <c r="F51" s="781">
        <f>'9.1.1. sz. mell. '!C51+'9.1.2. sz. mell.'!C51</f>
        <v>30332500</v>
      </c>
      <c r="G51" s="782">
        <f t="shared" si="0"/>
        <v>0</v>
      </c>
      <c r="H51" s="777">
        <f t="shared" si="1"/>
        <v>0</v>
      </c>
    </row>
    <row r="52" spans="1:8" s="77" customFormat="1" ht="12" customHeight="1" x14ac:dyDescent="0.2">
      <c r="A52" s="334" t="s">
        <v>300</v>
      </c>
      <c r="B52" s="320" t="s">
        <v>305</v>
      </c>
      <c r="C52" s="237"/>
      <c r="D52" s="777">
        <f>'9.1.1. sz. mell. '!C52+'9.1.2. sz. mell.'!C52</f>
        <v>0</v>
      </c>
      <c r="E52" s="777">
        <f>'9.1.1. sz. mell. '!C52+'9.1.2. sz. mell.'!C52</f>
        <v>0</v>
      </c>
      <c r="F52" s="781">
        <f>'9.1.1. sz. mell. '!C52+'9.1.2. sz. mell.'!C52</f>
        <v>0</v>
      </c>
      <c r="G52" s="782">
        <f t="shared" si="0"/>
        <v>0</v>
      </c>
      <c r="H52" s="777">
        <f t="shared" si="1"/>
        <v>0</v>
      </c>
    </row>
    <row r="53" spans="1:8" s="77" customFormat="1" ht="12" customHeight="1" x14ac:dyDescent="0.2">
      <c r="A53" s="334" t="s">
        <v>301</v>
      </c>
      <c r="B53" s="320" t="s">
        <v>306</v>
      </c>
      <c r="C53" s="237"/>
      <c r="D53" s="777">
        <f>'9.1.1. sz. mell. '!C53+'9.1.2. sz. mell.'!C53</f>
        <v>0</v>
      </c>
      <c r="E53" s="777">
        <f>'9.1.1. sz. mell. '!C53+'9.1.2. sz. mell.'!C53</f>
        <v>0</v>
      </c>
      <c r="F53" s="781">
        <f>'9.1.1. sz. mell. '!C53+'9.1.2. sz. mell.'!C53</f>
        <v>0</v>
      </c>
      <c r="G53" s="782">
        <f t="shared" si="0"/>
        <v>0</v>
      </c>
      <c r="H53" s="777">
        <f t="shared" si="1"/>
        <v>0</v>
      </c>
    </row>
    <row r="54" spans="1:8" s="77" customFormat="1" ht="12" customHeight="1" thickBot="1" x14ac:dyDescent="0.25">
      <c r="A54" s="335" t="s">
        <v>302</v>
      </c>
      <c r="B54" s="321" t="s">
        <v>307</v>
      </c>
      <c r="C54" s="308"/>
      <c r="D54" s="777">
        <f>'9.1.1. sz. mell. '!C54+'9.1.2. sz. mell.'!C54</f>
        <v>0</v>
      </c>
      <c r="E54" s="777">
        <f>'9.1.1. sz. mell. '!C54+'9.1.2. sz. mell.'!C54</f>
        <v>0</v>
      </c>
      <c r="F54" s="783">
        <f>'9.1.1. sz. mell. '!C54+'9.1.2. sz. mell.'!C54</f>
        <v>0</v>
      </c>
      <c r="G54" s="784">
        <f t="shared" si="0"/>
        <v>0</v>
      </c>
      <c r="H54" s="777">
        <f t="shared" si="1"/>
        <v>0</v>
      </c>
    </row>
    <row r="55" spans="1:8" s="77" customFormat="1" ht="12" customHeight="1" thickBot="1" x14ac:dyDescent="0.25">
      <c r="A55" s="31" t="s">
        <v>187</v>
      </c>
      <c r="B55" s="20" t="s">
        <v>308</v>
      </c>
      <c r="C55" s="233">
        <f>SUM(C56:C58)</f>
        <v>4766000</v>
      </c>
      <c r="D55" s="777">
        <f>'9.1.1. sz. mell. '!C55+'9.1.2. sz. mell.'!C55</f>
        <v>4766000</v>
      </c>
      <c r="E55" s="777">
        <f>'9.1.1. sz. mell. '!C55+'9.1.2. sz. mell.'!C55</f>
        <v>4766000</v>
      </c>
      <c r="F55" s="778">
        <f>'9.1.1. sz. mell. '!C55+'9.1.2. sz. mell.'!C55</f>
        <v>4766000</v>
      </c>
      <c r="G55" s="778">
        <f t="shared" si="0"/>
        <v>0</v>
      </c>
      <c r="H55" s="777">
        <f t="shared" si="1"/>
        <v>0</v>
      </c>
    </row>
    <row r="56" spans="1:8" s="77" customFormat="1" ht="12" customHeight="1" x14ac:dyDescent="0.2">
      <c r="A56" s="333" t="s">
        <v>112</v>
      </c>
      <c r="B56" s="319" t="s">
        <v>309</v>
      </c>
      <c r="C56" s="357"/>
      <c r="D56" s="777">
        <f>'9.1.1. sz. mell. '!C56+'9.1.2. sz. mell.'!C56</f>
        <v>0</v>
      </c>
      <c r="E56" s="777">
        <f>'9.1.1. sz. mell. '!C56+'9.1.2. sz. mell.'!C56</f>
        <v>0</v>
      </c>
      <c r="F56" s="779">
        <f>'9.1.1. sz. mell. '!C56+'9.1.2. sz. mell.'!C56</f>
        <v>0</v>
      </c>
      <c r="G56" s="780">
        <f t="shared" si="0"/>
        <v>0</v>
      </c>
      <c r="H56" s="777">
        <f t="shared" si="1"/>
        <v>0</v>
      </c>
    </row>
    <row r="57" spans="1:8" s="77" customFormat="1" ht="12" customHeight="1" x14ac:dyDescent="0.2">
      <c r="A57" s="334" t="s">
        <v>113</v>
      </c>
      <c r="B57" s="320" t="s">
        <v>440</v>
      </c>
      <c r="C57" s="411">
        <f>1566000+300000</f>
        <v>1866000</v>
      </c>
      <c r="D57" s="777">
        <f>'9.1.1. sz. mell. '!C57+'9.1.2. sz. mell.'!C57</f>
        <v>1866000</v>
      </c>
      <c r="E57" s="777">
        <f>'9.1.1. sz. mell. '!C57+'9.1.2. sz. mell.'!C57</f>
        <v>1866000</v>
      </c>
      <c r="F57" s="781">
        <f>'9.1.1. sz. mell. '!C57+'9.1.2. sz. mell.'!C57</f>
        <v>1866000</v>
      </c>
      <c r="G57" s="782">
        <f t="shared" si="0"/>
        <v>0</v>
      </c>
      <c r="H57" s="777">
        <f t="shared" si="1"/>
        <v>0</v>
      </c>
    </row>
    <row r="58" spans="1:8" s="77" customFormat="1" ht="12" customHeight="1" x14ac:dyDescent="0.2">
      <c r="A58" s="334" t="s">
        <v>312</v>
      </c>
      <c r="B58" s="320" t="s">
        <v>310</v>
      </c>
      <c r="C58" s="411">
        <v>2900000</v>
      </c>
      <c r="D58" s="777">
        <f>'9.1.1. sz. mell. '!C58+'9.1.2. sz. mell.'!C58</f>
        <v>2900000</v>
      </c>
      <c r="E58" s="777">
        <f>'9.1.1. sz. mell. '!C58+'9.1.2. sz. mell.'!C58</f>
        <v>2900000</v>
      </c>
      <c r="F58" s="781">
        <f>'9.1.1. sz. mell. '!C58+'9.1.2. sz. mell.'!C58</f>
        <v>2900000</v>
      </c>
      <c r="G58" s="782">
        <f t="shared" si="0"/>
        <v>0</v>
      </c>
      <c r="H58" s="777">
        <f t="shared" si="1"/>
        <v>0</v>
      </c>
    </row>
    <row r="59" spans="1:8" s="77" customFormat="1" ht="12" customHeight="1" thickBot="1" x14ac:dyDescent="0.25">
      <c r="A59" s="335" t="s">
        <v>313</v>
      </c>
      <c r="B59" s="321" t="s">
        <v>311</v>
      </c>
      <c r="C59" s="236"/>
      <c r="D59" s="777">
        <f>'9.1.1. sz. mell. '!C59+'9.1.2. sz. mell.'!C59</f>
        <v>0</v>
      </c>
      <c r="E59" s="777">
        <f>'9.1.1. sz. mell. '!C59+'9.1.2. sz. mell.'!C59</f>
        <v>0</v>
      </c>
      <c r="F59" s="783">
        <f>'9.1.1. sz. mell. '!C59+'9.1.2. sz. mell.'!C59</f>
        <v>0</v>
      </c>
      <c r="G59" s="784">
        <f t="shared" si="0"/>
        <v>0</v>
      </c>
      <c r="H59" s="777">
        <f t="shared" si="1"/>
        <v>0</v>
      </c>
    </row>
    <row r="60" spans="1:8" s="77" customFormat="1" ht="12" customHeight="1" thickBot="1" x14ac:dyDescent="0.25">
      <c r="A60" s="31" t="s">
        <v>38</v>
      </c>
      <c r="B60" s="228" t="s">
        <v>314</v>
      </c>
      <c r="C60" s="233">
        <f>SUM(C61:C63)</f>
        <v>0</v>
      </c>
      <c r="D60" s="777">
        <f>'9.1.1. sz. mell. '!C60+'9.1.2. sz. mell.'!C60</f>
        <v>0</v>
      </c>
      <c r="E60" s="777">
        <f>'9.1.1. sz. mell. '!C60+'9.1.2. sz. mell.'!C60</f>
        <v>0</v>
      </c>
      <c r="F60" s="778">
        <f>'9.1.1. sz. mell. '!C60+'9.1.2. sz. mell.'!C60</f>
        <v>0</v>
      </c>
      <c r="G60" s="778">
        <f t="shared" si="0"/>
        <v>0</v>
      </c>
      <c r="H60" s="777">
        <f t="shared" si="1"/>
        <v>0</v>
      </c>
    </row>
    <row r="61" spans="1:8" s="77" customFormat="1" ht="12" customHeight="1" x14ac:dyDescent="0.2">
      <c r="A61" s="333" t="s">
        <v>188</v>
      </c>
      <c r="B61" s="319" t="s">
        <v>316</v>
      </c>
      <c r="C61" s="237"/>
      <c r="D61" s="777">
        <f>'9.1.1. sz. mell. '!C61+'9.1.2. sz. mell.'!C61</f>
        <v>0</v>
      </c>
      <c r="E61" s="777">
        <f>'9.1.1. sz. mell. '!C61+'9.1.2. sz. mell.'!C61</f>
        <v>0</v>
      </c>
      <c r="F61" s="779">
        <f>'9.1.1. sz. mell. '!C61+'9.1.2. sz. mell.'!C61</f>
        <v>0</v>
      </c>
      <c r="G61" s="780">
        <f t="shared" si="0"/>
        <v>0</v>
      </c>
      <c r="H61" s="777">
        <f t="shared" si="1"/>
        <v>0</v>
      </c>
    </row>
    <row r="62" spans="1:8" s="77" customFormat="1" ht="12" customHeight="1" x14ac:dyDescent="0.2">
      <c r="A62" s="334" t="s">
        <v>189</v>
      </c>
      <c r="B62" s="320" t="s">
        <v>441</v>
      </c>
      <c r="C62" s="237"/>
      <c r="D62" s="777">
        <f>'9.1.1. sz. mell. '!C62+'9.1.2. sz. mell.'!C62</f>
        <v>0</v>
      </c>
      <c r="E62" s="777">
        <f>'9.1.1. sz. mell. '!C62+'9.1.2. sz. mell.'!C62</f>
        <v>0</v>
      </c>
      <c r="F62" s="781">
        <f>'9.1.1. sz. mell. '!C62+'9.1.2. sz. mell.'!C62</f>
        <v>0</v>
      </c>
      <c r="G62" s="782">
        <f t="shared" si="0"/>
        <v>0</v>
      </c>
      <c r="H62" s="777">
        <f t="shared" si="1"/>
        <v>0</v>
      </c>
    </row>
    <row r="63" spans="1:8" s="77" customFormat="1" ht="12" customHeight="1" x14ac:dyDescent="0.2">
      <c r="A63" s="334" t="s">
        <v>237</v>
      </c>
      <c r="B63" s="320" t="s">
        <v>317</v>
      </c>
      <c r="C63" s="237"/>
      <c r="D63" s="777">
        <f>'9.1.1. sz. mell. '!C63+'9.1.2. sz. mell.'!C63</f>
        <v>0</v>
      </c>
      <c r="E63" s="777">
        <f>'9.1.1. sz. mell. '!C63+'9.1.2. sz. mell.'!C63</f>
        <v>0</v>
      </c>
      <c r="F63" s="781">
        <f>'9.1.1. sz. mell. '!C63+'9.1.2. sz. mell.'!C63</f>
        <v>0</v>
      </c>
      <c r="G63" s="782">
        <f t="shared" si="0"/>
        <v>0</v>
      </c>
      <c r="H63" s="777">
        <f t="shared" si="1"/>
        <v>0</v>
      </c>
    </row>
    <row r="64" spans="1:8" s="77" customFormat="1" ht="12" customHeight="1" thickBot="1" x14ac:dyDescent="0.25">
      <c r="A64" s="335" t="s">
        <v>315</v>
      </c>
      <c r="B64" s="321" t="s">
        <v>318</v>
      </c>
      <c r="C64" s="237"/>
      <c r="D64" s="777">
        <f>'9.1.1. sz. mell. '!C64+'9.1.2. sz. mell.'!C64</f>
        <v>0</v>
      </c>
      <c r="E64" s="777">
        <f>'9.1.1. sz. mell. '!C64+'9.1.2. sz. mell.'!C64</f>
        <v>0</v>
      </c>
      <c r="F64" s="783">
        <f>'9.1.1. sz. mell. '!C64+'9.1.2. sz. mell.'!C64</f>
        <v>0</v>
      </c>
      <c r="G64" s="784">
        <f t="shared" si="0"/>
        <v>0</v>
      </c>
      <c r="H64" s="777">
        <f t="shared" si="1"/>
        <v>0</v>
      </c>
    </row>
    <row r="65" spans="1:8" s="77" customFormat="1" ht="12" customHeight="1" thickBot="1" x14ac:dyDescent="0.25">
      <c r="A65" s="31" t="s">
        <v>39</v>
      </c>
      <c r="B65" s="20" t="s">
        <v>319</v>
      </c>
      <c r="C65" s="238">
        <f>+C8+C15+C22+C29+C37+C49+C55+C60</f>
        <v>1917422018</v>
      </c>
      <c r="D65" s="777">
        <f>'9.1.1. sz. mell. '!C65+'9.1.2. sz. mell.'!C65</f>
        <v>1917422018</v>
      </c>
      <c r="E65" s="777">
        <f>'9.1.1. sz. mell. '!C65+'9.1.2. sz. mell.'!C65</f>
        <v>1917422018</v>
      </c>
      <c r="F65" s="778">
        <f>'9.1.1. sz. mell. '!C65+'9.1.2. sz. mell.'!C65</f>
        <v>1917422018</v>
      </c>
      <c r="G65" s="778">
        <f t="shared" si="0"/>
        <v>0</v>
      </c>
      <c r="H65" s="777">
        <f t="shared" si="1"/>
        <v>0</v>
      </c>
    </row>
    <row r="66" spans="1:8" s="77" customFormat="1" ht="12" customHeight="1" thickBot="1" x14ac:dyDescent="0.2">
      <c r="A66" s="336" t="s">
        <v>409</v>
      </c>
      <c r="B66" s="228" t="s">
        <v>321</v>
      </c>
      <c r="C66" s="233">
        <f>SUM(C67:C69)</f>
        <v>193478462</v>
      </c>
      <c r="D66" s="777">
        <f>'9.1.1. sz. mell. '!C66+'9.1.2. sz. mell.'!C66</f>
        <v>193478462</v>
      </c>
      <c r="E66" s="777">
        <f>'9.1.1. sz. mell. '!C66+'9.1.2. sz. mell.'!C66</f>
        <v>193478462</v>
      </c>
      <c r="F66" s="778">
        <f>'9.1.1. sz. mell. '!C66+'9.1.2. sz. mell.'!C66</f>
        <v>193478462</v>
      </c>
      <c r="G66" s="778">
        <f t="shared" si="0"/>
        <v>0</v>
      </c>
      <c r="H66" s="777">
        <f t="shared" si="1"/>
        <v>0</v>
      </c>
    </row>
    <row r="67" spans="1:8" s="77" customFormat="1" ht="12" customHeight="1" x14ac:dyDescent="0.2">
      <c r="A67" s="333" t="s">
        <v>352</v>
      </c>
      <c r="B67" s="319" t="s">
        <v>322</v>
      </c>
      <c r="C67" s="411">
        <v>93478462</v>
      </c>
      <c r="D67" s="777">
        <f>'9.1.1. sz. mell. '!C67+'9.1.2. sz. mell.'!C67</f>
        <v>93478462</v>
      </c>
      <c r="E67" s="777">
        <f>'9.1.1. sz. mell. '!C67+'9.1.2. sz. mell.'!C67</f>
        <v>93478462</v>
      </c>
      <c r="F67" s="779">
        <f>'9.1.1. sz. mell. '!C67+'9.1.2. sz. mell.'!C67</f>
        <v>93478462</v>
      </c>
      <c r="G67" s="780">
        <f t="shared" si="0"/>
        <v>0</v>
      </c>
      <c r="H67" s="777">
        <f t="shared" si="1"/>
        <v>0</v>
      </c>
    </row>
    <row r="68" spans="1:8" s="77" customFormat="1" ht="12" customHeight="1" x14ac:dyDescent="0.2">
      <c r="A68" s="334" t="s">
        <v>361</v>
      </c>
      <c r="B68" s="320" t="s">
        <v>323</v>
      </c>
      <c r="C68" s="411">
        <v>100000000</v>
      </c>
      <c r="D68" s="777">
        <f>'9.1.1. sz. mell. '!C68+'9.1.2. sz. mell.'!C68</f>
        <v>100000000</v>
      </c>
      <c r="E68" s="777">
        <f>'9.1.1. sz. mell. '!C68+'9.1.2. sz. mell.'!C68</f>
        <v>100000000</v>
      </c>
      <c r="F68" s="781">
        <f>'9.1.1. sz. mell. '!C68+'9.1.2. sz. mell.'!C68</f>
        <v>100000000</v>
      </c>
      <c r="G68" s="782">
        <f t="shared" si="0"/>
        <v>0</v>
      </c>
      <c r="H68" s="777">
        <f t="shared" si="1"/>
        <v>0</v>
      </c>
    </row>
    <row r="69" spans="1:8" s="77" customFormat="1" ht="12" customHeight="1" thickBot="1" x14ac:dyDescent="0.25">
      <c r="A69" s="335" t="s">
        <v>362</v>
      </c>
      <c r="B69" s="322" t="s">
        <v>324</v>
      </c>
      <c r="C69" s="237"/>
      <c r="D69" s="777">
        <f>'9.1.1. sz. mell. '!C69+'9.1.2. sz. mell.'!C69</f>
        <v>0</v>
      </c>
      <c r="E69" s="777">
        <f>'9.1.1. sz. mell. '!C69+'9.1.2. sz. mell.'!C69</f>
        <v>0</v>
      </c>
      <c r="F69" s="783">
        <f>'9.1.1. sz. mell. '!C69+'9.1.2. sz. mell.'!C69</f>
        <v>0</v>
      </c>
      <c r="G69" s="784">
        <f t="shared" si="0"/>
        <v>0</v>
      </c>
      <c r="H69" s="777">
        <f t="shared" si="1"/>
        <v>0</v>
      </c>
    </row>
    <row r="70" spans="1:8" s="77" customFormat="1" ht="12" customHeight="1" thickBot="1" x14ac:dyDescent="0.2">
      <c r="A70" s="336" t="s">
        <v>325</v>
      </c>
      <c r="B70" s="228" t="s">
        <v>326</v>
      </c>
      <c r="C70" s="233">
        <f>SUM(C71:C74)</f>
        <v>0</v>
      </c>
      <c r="D70" s="777">
        <f>'9.1.1. sz. mell. '!C70+'9.1.2. sz. mell.'!C70</f>
        <v>0</v>
      </c>
      <c r="E70" s="777">
        <f>'9.1.1. sz. mell. '!C70+'9.1.2. sz. mell.'!C70</f>
        <v>0</v>
      </c>
      <c r="F70" s="778">
        <f>'9.1.1. sz. mell. '!C70+'9.1.2. sz. mell.'!C70</f>
        <v>0</v>
      </c>
      <c r="G70" s="778">
        <f t="shared" si="0"/>
        <v>0</v>
      </c>
      <c r="H70" s="777">
        <f t="shared" si="1"/>
        <v>0</v>
      </c>
    </row>
    <row r="71" spans="1:8" s="77" customFormat="1" ht="12" customHeight="1" x14ac:dyDescent="0.2">
      <c r="A71" s="333" t="s">
        <v>159</v>
      </c>
      <c r="B71" s="319" t="s">
        <v>327</v>
      </c>
      <c r="C71" s="237"/>
      <c r="D71" s="777">
        <f>'9.1.1. sz. mell. '!C71+'9.1.2. sz. mell.'!C71</f>
        <v>0</v>
      </c>
      <c r="E71" s="777">
        <f>'9.1.1. sz. mell. '!C71+'9.1.2. sz. mell.'!C71</f>
        <v>0</v>
      </c>
      <c r="F71" s="779">
        <f>'9.1.1. sz. mell. '!C71+'9.1.2. sz. mell.'!C71</f>
        <v>0</v>
      </c>
      <c r="G71" s="780">
        <f t="shared" si="0"/>
        <v>0</v>
      </c>
      <c r="H71" s="777">
        <f t="shared" si="1"/>
        <v>0</v>
      </c>
    </row>
    <row r="72" spans="1:8" s="77" customFormat="1" ht="12" customHeight="1" x14ac:dyDescent="0.2">
      <c r="A72" s="334" t="s">
        <v>160</v>
      </c>
      <c r="B72" s="320" t="s">
        <v>328</v>
      </c>
      <c r="C72" s="237"/>
      <c r="D72" s="777">
        <f>'9.1.1. sz. mell. '!C72+'9.1.2. sz. mell.'!C72</f>
        <v>0</v>
      </c>
      <c r="E72" s="777">
        <f>'9.1.1. sz. mell. '!C72+'9.1.2. sz. mell.'!C72</f>
        <v>0</v>
      </c>
      <c r="F72" s="781">
        <f>'9.1.1. sz. mell. '!C72+'9.1.2. sz. mell.'!C72</f>
        <v>0</v>
      </c>
      <c r="G72" s="782">
        <f t="shared" si="0"/>
        <v>0</v>
      </c>
      <c r="H72" s="777">
        <f t="shared" si="1"/>
        <v>0</v>
      </c>
    </row>
    <row r="73" spans="1:8" s="77" customFormat="1" ht="12" customHeight="1" x14ac:dyDescent="0.2">
      <c r="A73" s="334" t="s">
        <v>353</v>
      </c>
      <c r="B73" s="320" t="s">
        <v>329</v>
      </c>
      <c r="C73" s="237"/>
      <c r="D73" s="777">
        <f>'9.1.1. sz. mell. '!C73+'9.1.2. sz. mell.'!C73</f>
        <v>0</v>
      </c>
      <c r="E73" s="777">
        <f>'9.1.1. sz. mell. '!C73+'9.1.2. sz. mell.'!C73</f>
        <v>0</v>
      </c>
      <c r="F73" s="781">
        <f>'9.1.1. sz. mell. '!C73+'9.1.2. sz. mell.'!C73</f>
        <v>0</v>
      </c>
      <c r="G73" s="782">
        <f t="shared" ref="G73:G136" si="2">C73-F73</f>
        <v>0</v>
      </c>
      <c r="H73" s="777">
        <f t="shared" ref="H73:H136" si="3">C73-D73</f>
        <v>0</v>
      </c>
    </row>
    <row r="74" spans="1:8" s="77" customFormat="1" ht="12" customHeight="1" thickBot="1" x14ac:dyDescent="0.25">
      <c r="A74" s="335" t="s">
        <v>354</v>
      </c>
      <c r="B74" s="321" t="s">
        <v>330</v>
      </c>
      <c r="C74" s="237"/>
      <c r="D74" s="777">
        <f>'9.1.1. sz. mell. '!C74+'9.1.2. sz. mell.'!C74</f>
        <v>0</v>
      </c>
      <c r="E74" s="777">
        <f>'9.1.1. sz. mell. '!C74+'9.1.2. sz. mell.'!C74</f>
        <v>0</v>
      </c>
      <c r="F74" s="783">
        <f>'9.1.1. sz. mell. '!C74+'9.1.2. sz. mell.'!C74</f>
        <v>0</v>
      </c>
      <c r="G74" s="784">
        <f t="shared" si="2"/>
        <v>0</v>
      </c>
      <c r="H74" s="777">
        <f t="shared" si="3"/>
        <v>0</v>
      </c>
    </row>
    <row r="75" spans="1:8" s="77" customFormat="1" ht="12" customHeight="1" thickBot="1" x14ac:dyDescent="0.2">
      <c r="A75" s="336" t="s">
        <v>331</v>
      </c>
      <c r="B75" s="228" t="s">
        <v>332</v>
      </c>
      <c r="C75" s="233">
        <f>SUM(C76:C77)</f>
        <v>569119704</v>
      </c>
      <c r="D75" s="777">
        <f>'9.1.1. sz. mell. '!C75+'9.1.2. sz. mell.'!C75</f>
        <v>569119704</v>
      </c>
      <c r="E75" s="777">
        <f>'9.1.1. sz. mell. '!C75+'9.1.2. sz. mell.'!C75</f>
        <v>569119704</v>
      </c>
      <c r="F75" s="778">
        <f>'9.1.1. sz. mell. '!C75+'9.1.2. sz. mell.'!C75</f>
        <v>569119704</v>
      </c>
      <c r="G75" s="778">
        <f t="shared" si="2"/>
        <v>0</v>
      </c>
      <c r="H75" s="777">
        <f t="shared" si="3"/>
        <v>0</v>
      </c>
    </row>
    <row r="76" spans="1:8" s="77" customFormat="1" ht="12" customHeight="1" x14ac:dyDescent="0.2">
      <c r="A76" s="333" t="s">
        <v>355</v>
      </c>
      <c r="B76" s="319" t="s">
        <v>333</v>
      </c>
      <c r="C76" s="411">
        <v>569119704</v>
      </c>
      <c r="D76" s="777">
        <f>'9.1.1. sz. mell. '!C76+'9.1.2. sz. mell.'!C76</f>
        <v>569119704</v>
      </c>
      <c r="E76" s="777">
        <f>'9.1.1. sz. mell. '!C76+'9.1.2. sz. mell.'!C76</f>
        <v>569119704</v>
      </c>
      <c r="F76" s="779">
        <f>'9.1.1. sz. mell. '!C76+'9.1.2. sz. mell.'!C76</f>
        <v>569119704</v>
      </c>
      <c r="G76" s="780">
        <f t="shared" si="2"/>
        <v>0</v>
      </c>
      <c r="H76" s="777">
        <f t="shared" si="3"/>
        <v>0</v>
      </c>
    </row>
    <row r="77" spans="1:8" s="77" customFormat="1" ht="12" customHeight="1" thickBot="1" x14ac:dyDescent="0.25">
      <c r="A77" s="335" t="s">
        <v>356</v>
      </c>
      <c r="B77" s="321" t="s">
        <v>334</v>
      </c>
      <c r="C77" s="237"/>
      <c r="D77" s="777">
        <f>'9.1.1. sz. mell. '!C77+'9.1.2. sz. mell.'!C77</f>
        <v>0</v>
      </c>
      <c r="E77" s="777">
        <f>'9.1.1. sz. mell. '!C77+'9.1.2. sz. mell.'!C77</f>
        <v>0</v>
      </c>
      <c r="F77" s="783">
        <f>'9.1.1. sz. mell. '!C77+'9.1.2. sz. mell.'!C77</f>
        <v>0</v>
      </c>
      <c r="G77" s="784">
        <f t="shared" si="2"/>
        <v>0</v>
      </c>
      <c r="H77" s="777">
        <f t="shared" si="3"/>
        <v>0</v>
      </c>
    </row>
    <row r="78" spans="1:8" s="76" customFormat="1" ht="12" customHeight="1" thickBot="1" x14ac:dyDescent="0.2">
      <c r="A78" s="336" t="s">
        <v>335</v>
      </c>
      <c r="B78" s="228" t="s">
        <v>336</v>
      </c>
      <c r="C78" s="233">
        <f>SUM(C79:C81)</f>
        <v>0</v>
      </c>
      <c r="D78" s="777">
        <f>'9.1.1. sz. mell. '!C78+'9.1.2. sz. mell.'!C78</f>
        <v>0</v>
      </c>
      <c r="E78" s="777">
        <f>'9.1.1. sz. mell. '!C78+'9.1.2. sz. mell.'!C78</f>
        <v>0</v>
      </c>
      <c r="F78" s="778">
        <f>'9.1.1. sz. mell. '!C78+'9.1.2. sz. mell.'!C78</f>
        <v>0</v>
      </c>
      <c r="G78" s="778">
        <f t="shared" si="2"/>
        <v>0</v>
      </c>
      <c r="H78" s="777">
        <f t="shared" si="3"/>
        <v>0</v>
      </c>
    </row>
    <row r="79" spans="1:8" s="77" customFormat="1" ht="12" customHeight="1" x14ac:dyDescent="0.2">
      <c r="A79" s="333" t="s">
        <v>357</v>
      </c>
      <c r="B79" s="319" t="s">
        <v>337</v>
      </c>
      <c r="C79" s="237"/>
      <c r="D79" s="777">
        <f>'9.1.1. sz. mell. '!C79+'9.1.2. sz. mell.'!C79</f>
        <v>0</v>
      </c>
      <c r="E79" s="777">
        <f>'9.1.1. sz. mell. '!C79+'9.1.2. sz. mell.'!C79</f>
        <v>0</v>
      </c>
      <c r="F79" s="779">
        <f>'9.1.1. sz. mell. '!C79+'9.1.2. sz. mell.'!C79</f>
        <v>0</v>
      </c>
      <c r="G79" s="780">
        <f t="shared" si="2"/>
        <v>0</v>
      </c>
      <c r="H79" s="777">
        <f t="shared" si="3"/>
        <v>0</v>
      </c>
    </row>
    <row r="80" spans="1:8" s="77" customFormat="1" ht="12" customHeight="1" x14ac:dyDescent="0.2">
      <c r="A80" s="334" t="s">
        <v>358</v>
      </c>
      <c r="B80" s="320" t="s">
        <v>338</v>
      </c>
      <c r="C80" s="237"/>
      <c r="D80" s="777">
        <f>'9.1.1. sz. mell. '!C80+'9.1.2. sz. mell.'!C80</f>
        <v>0</v>
      </c>
      <c r="E80" s="777">
        <f>'9.1.1. sz. mell. '!C80+'9.1.2. sz. mell.'!C80</f>
        <v>0</v>
      </c>
      <c r="F80" s="781">
        <f>'9.1.1. sz. mell. '!C80+'9.1.2. sz. mell.'!C80</f>
        <v>0</v>
      </c>
      <c r="G80" s="782">
        <f t="shared" si="2"/>
        <v>0</v>
      </c>
      <c r="H80" s="777">
        <f t="shared" si="3"/>
        <v>0</v>
      </c>
    </row>
    <row r="81" spans="1:8" s="77" customFormat="1" ht="12" customHeight="1" thickBot="1" x14ac:dyDescent="0.25">
      <c r="A81" s="335" t="s">
        <v>359</v>
      </c>
      <c r="B81" s="321" t="s">
        <v>339</v>
      </c>
      <c r="C81" s="237"/>
      <c r="D81" s="777">
        <f>'9.1.1. sz. mell. '!C81+'9.1.2. sz. mell.'!C81</f>
        <v>0</v>
      </c>
      <c r="E81" s="777">
        <f>'9.1.1. sz. mell. '!C81+'9.1.2. sz. mell.'!C81</f>
        <v>0</v>
      </c>
      <c r="F81" s="783">
        <f>'9.1.1. sz. mell. '!C81+'9.1.2. sz. mell.'!C81</f>
        <v>0</v>
      </c>
      <c r="G81" s="784">
        <f t="shared" si="2"/>
        <v>0</v>
      </c>
      <c r="H81" s="777">
        <f t="shared" si="3"/>
        <v>0</v>
      </c>
    </row>
    <row r="82" spans="1:8" s="77" customFormat="1" ht="12" customHeight="1" thickBot="1" x14ac:dyDescent="0.2">
      <c r="A82" s="336" t="s">
        <v>340</v>
      </c>
      <c r="B82" s="228" t="s">
        <v>360</v>
      </c>
      <c r="C82" s="233">
        <f>SUM(C83:C86)</f>
        <v>0</v>
      </c>
      <c r="D82" s="777">
        <f>'9.1.1. sz. mell. '!C82+'9.1.2. sz. mell.'!C82</f>
        <v>0</v>
      </c>
      <c r="E82" s="777">
        <f>'9.1.1. sz. mell. '!C82+'9.1.2. sz. mell.'!C82</f>
        <v>0</v>
      </c>
      <c r="F82" s="778">
        <f>'9.1.1. sz. mell. '!C82+'9.1.2. sz. mell.'!C82</f>
        <v>0</v>
      </c>
      <c r="G82" s="778">
        <f t="shared" si="2"/>
        <v>0</v>
      </c>
      <c r="H82" s="777">
        <f t="shared" si="3"/>
        <v>0</v>
      </c>
    </row>
    <row r="83" spans="1:8" s="77" customFormat="1" ht="12" customHeight="1" x14ac:dyDescent="0.2">
      <c r="A83" s="337" t="s">
        <v>341</v>
      </c>
      <c r="B83" s="319" t="s">
        <v>342</v>
      </c>
      <c r="C83" s="237"/>
      <c r="D83" s="777">
        <f>'9.1.1. sz. mell. '!C83+'9.1.2. sz. mell.'!C83</f>
        <v>0</v>
      </c>
      <c r="E83" s="777">
        <f>'9.1.1. sz. mell. '!C83+'9.1.2. sz. mell.'!C83</f>
        <v>0</v>
      </c>
      <c r="F83" s="779">
        <f>'9.1.1. sz. mell. '!C83+'9.1.2. sz. mell.'!C83</f>
        <v>0</v>
      </c>
      <c r="G83" s="780">
        <f t="shared" si="2"/>
        <v>0</v>
      </c>
      <c r="H83" s="777">
        <f t="shared" si="3"/>
        <v>0</v>
      </c>
    </row>
    <row r="84" spans="1:8" s="77" customFormat="1" ht="12" customHeight="1" x14ac:dyDescent="0.2">
      <c r="A84" s="338" t="s">
        <v>343</v>
      </c>
      <c r="B84" s="320" t="s">
        <v>344</v>
      </c>
      <c r="C84" s="237"/>
      <c r="D84" s="777">
        <f>'9.1.1. sz. mell. '!C84+'9.1.2. sz. mell.'!C84</f>
        <v>0</v>
      </c>
      <c r="E84" s="777">
        <f>'9.1.1. sz. mell. '!C84+'9.1.2. sz. mell.'!C84</f>
        <v>0</v>
      </c>
      <c r="F84" s="781">
        <f>'9.1.1. sz. mell. '!C84+'9.1.2. sz. mell.'!C84</f>
        <v>0</v>
      </c>
      <c r="G84" s="782">
        <f t="shared" si="2"/>
        <v>0</v>
      </c>
      <c r="H84" s="777">
        <f t="shared" si="3"/>
        <v>0</v>
      </c>
    </row>
    <row r="85" spans="1:8" s="77" customFormat="1" ht="12" customHeight="1" x14ac:dyDescent="0.2">
      <c r="A85" s="338" t="s">
        <v>345</v>
      </c>
      <c r="B85" s="320" t="s">
        <v>346</v>
      </c>
      <c r="C85" s="237"/>
      <c r="D85" s="777">
        <f>'9.1.1. sz. mell. '!C85+'9.1.2. sz. mell.'!C85</f>
        <v>0</v>
      </c>
      <c r="E85" s="777">
        <f>'9.1.1. sz. mell. '!C85+'9.1.2. sz. mell.'!C85</f>
        <v>0</v>
      </c>
      <c r="F85" s="781">
        <f>'9.1.1. sz. mell. '!C85+'9.1.2. sz. mell.'!C85</f>
        <v>0</v>
      </c>
      <c r="G85" s="782">
        <f t="shared" si="2"/>
        <v>0</v>
      </c>
      <c r="H85" s="777">
        <f t="shared" si="3"/>
        <v>0</v>
      </c>
    </row>
    <row r="86" spans="1:8" s="76" customFormat="1" ht="12" customHeight="1" thickBot="1" x14ac:dyDescent="0.25">
      <c r="A86" s="339" t="s">
        <v>347</v>
      </c>
      <c r="B86" s="321" t="s">
        <v>348</v>
      </c>
      <c r="C86" s="237"/>
      <c r="D86" s="777">
        <f>'9.1.1. sz. mell. '!C86+'9.1.2. sz. mell.'!C86</f>
        <v>0</v>
      </c>
      <c r="E86" s="777">
        <f>'9.1.1. sz. mell. '!C86+'9.1.2. sz. mell.'!C86</f>
        <v>0</v>
      </c>
      <c r="F86" s="783">
        <f>'9.1.1. sz. mell. '!C86+'9.1.2. sz. mell.'!C86</f>
        <v>0</v>
      </c>
      <c r="G86" s="784">
        <f t="shared" si="2"/>
        <v>0</v>
      </c>
      <c r="H86" s="777">
        <f t="shared" si="3"/>
        <v>0</v>
      </c>
    </row>
    <row r="87" spans="1:8" s="76" customFormat="1" ht="12" customHeight="1" thickBot="1" x14ac:dyDescent="0.2">
      <c r="A87" s="336" t="s">
        <v>349</v>
      </c>
      <c r="B87" s="228" t="s">
        <v>559</v>
      </c>
      <c r="C87" s="358"/>
      <c r="D87" s="777">
        <f>'9.1.1. sz. mell. '!C87+'9.1.2. sz. mell.'!C87</f>
        <v>0</v>
      </c>
      <c r="E87" s="777">
        <f>'9.1.1. sz. mell. '!C87+'9.1.2. sz. mell.'!C87</f>
        <v>0</v>
      </c>
      <c r="F87" s="778">
        <f>'9.1.1. sz. mell. '!C87+'9.1.2. sz. mell.'!C87</f>
        <v>0</v>
      </c>
      <c r="G87" s="778">
        <f t="shared" si="2"/>
        <v>0</v>
      </c>
      <c r="H87" s="777">
        <f t="shared" si="3"/>
        <v>0</v>
      </c>
    </row>
    <row r="88" spans="1:8" s="76" customFormat="1" ht="12" customHeight="1" thickBot="1" x14ac:dyDescent="0.2">
      <c r="A88" s="336" t="s">
        <v>612</v>
      </c>
      <c r="B88" s="228" t="s">
        <v>350</v>
      </c>
      <c r="C88" s="358"/>
      <c r="D88" s="777">
        <f>'9.1.1. sz. mell. '!C88+'9.1.2. sz. mell.'!C88</f>
        <v>0</v>
      </c>
      <c r="E88" s="777">
        <f>'9.1.1. sz. mell. '!C88+'9.1.2. sz. mell.'!C88</f>
        <v>0</v>
      </c>
      <c r="F88" s="778">
        <f>'9.1.1. sz. mell. '!C88+'9.1.2. sz. mell.'!C88</f>
        <v>0</v>
      </c>
      <c r="G88" s="778">
        <f t="shared" si="2"/>
        <v>0</v>
      </c>
      <c r="H88" s="777">
        <f t="shared" si="3"/>
        <v>0</v>
      </c>
    </row>
    <row r="89" spans="1:8" s="76" customFormat="1" ht="12" customHeight="1" thickBot="1" x14ac:dyDescent="0.2">
      <c r="A89" s="336" t="s">
        <v>613</v>
      </c>
      <c r="B89" s="326" t="s">
        <v>560</v>
      </c>
      <c r="C89" s="238">
        <f>+C66+C70+C75+C78+C82+C88+C87</f>
        <v>762598166</v>
      </c>
      <c r="D89" s="777">
        <f>'9.1.1. sz. mell. '!C89+'9.1.2. sz. mell.'!C89</f>
        <v>762598166</v>
      </c>
      <c r="E89" s="777">
        <f>'9.1.1. sz. mell. '!C89+'9.1.2. sz. mell.'!C89</f>
        <v>762598166</v>
      </c>
      <c r="F89" s="778">
        <f>'9.1.1. sz. mell. '!C89+'9.1.2. sz. mell.'!C89</f>
        <v>762598166</v>
      </c>
      <c r="G89" s="778">
        <f t="shared" si="2"/>
        <v>0</v>
      </c>
      <c r="H89" s="777">
        <f t="shared" si="3"/>
        <v>0</v>
      </c>
    </row>
    <row r="90" spans="1:8" s="76" customFormat="1" ht="12" customHeight="1" thickBot="1" x14ac:dyDescent="0.2">
      <c r="A90" s="340" t="s">
        <v>614</v>
      </c>
      <c r="B90" s="327" t="s">
        <v>615</v>
      </c>
      <c r="C90" s="238">
        <f>+C65+C89</f>
        <v>2680020184</v>
      </c>
      <c r="D90" s="777">
        <f>'9.1.1. sz. mell. '!C90+'9.1.2. sz. mell.'!C90</f>
        <v>2680020184</v>
      </c>
      <c r="E90" s="777">
        <f>'9.1.1. sz. mell. '!C90+'9.1.2. sz. mell.'!C90</f>
        <v>2680020184</v>
      </c>
      <c r="F90" s="778">
        <f>'9.1.1. sz. mell. '!C90+'9.1.2. sz. mell.'!C90</f>
        <v>2680020184</v>
      </c>
      <c r="G90" s="778">
        <f t="shared" si="2"/>
        <v>0</v>
      </c>
      <c r="H90" s="777">
        <f t="shared" si="3"/>
        <v>0</v>
      </c>
    </row>
    <row r="91" spans="1:8" s="77" customFormat="1" ht="15" customHeight="1" thickBot="1" x14ac:dyDescent="0.25">
      <c r="A91" s="188"/>
      <c r="B91" s="189"/>
      <c r="C91" s="291"/>
      <c r="D91" s="777">
        <f>'9.1.1. sz. mell. '!C91+'9.1.2. sz. mell.'!C91</f>
        <v>0</v>
      </c>
      <c r="E91" s="777">
        <f>'9.1.1. sz. mell. '!C91+'9.1.2. sz. mell.'!C91</f>
        <v>0</v>
      </c>
      <c r="F91" s="773"/>
      <c r="G91" s="773"/>
      <c r="H91" s="777">
        <f t="shared" si="3"/>
        <v>0</v>
      </c>
    </row>
    <row r="92" spans="1:8" s="52" customFormat="1" ht="16.5" customHeight="1" thickBot="1" x14ac:dyDescent="0.25">
      <c r="A92" s="192"/>
      <c r="B92" s="193" t="s">
        <v>71</v>
      </c>
      <c r="C92" s="293"/>
      <c r="D92" s="777">
        <f>'9.1.1. sz. mell. '!C92+'9.1.2. sz. mell.'!C92</f>
        <v>0</v>
      </c>
      <c r="E92" s="777">
        <f>'9.1.1. sz. mell. '!C92+'9.1.2. sz. mell.'!C92</f>
        <v>0</v>
      </c>
      <c r="F92" s="773"/>
      <c r="G92" s="773"/>
      <c r="H92" s="777">
        <f t="shared" si="3"/>
        <v>0</v>
      </c>
    </row>
    <row r="93" spans="1:8" s="78" customFormat="1" ht="12" customHeight="1" thickBot="1" x14ac:dyDescent="0.25">
      <c r="A93" s="311" t="s">
        <v>31</v>
      </c>
      <c r="B93" s="25" t="s">
        <v>626</v>
      </c>
      <c r="C93" s="232">
        <f>+C94+C95+C96+C97+C98+C111</f>
        <v>682537985</v>
      </c>
      <c r="D93" s="777">
        <f>'9.1.1. sz. mell. '!C93+'9.1.2. sz. mell.'!C93</f>
        <v>682537985</v>
      </c>
      <c r="E93" s="777">
        <f>'9.1.1. sz. mell. '!C93+'9.1.2. sz. mell.'!C93</f>
        <v>682537985</v>
      </c>
      <c r="F93" s="778">
        <f>'9.1.1. sz. mell. '!C93+'9.1.2. sz. mell.'!C93</f>
        <v>682537985</v>
      </c>
      <c r="G93" s="778">
        <f t="shared" si="2"/>
        <v>0</v>
      </c>
      <c r="H93" s="777">
        <f t="shared" si="3"/>
        <v>0</v>
      </c>
    </row>
    <row r="94" spans="1:8" ht="12" customHeight="1" x14ac:dyDescent="0.2">
      <c r="A94" s="341" t="s">
        <v>114</v>
      </c>
      <c r="B94" s="9" t="s">
        <v>62</v>
      </c>
      <c r="C94" s="528">
        <f>2854500+25097896+75000+16116992+1182990+2491000</f>
        <v>47818378</v>
      </c>
      <c r="D94" s="777">
        <f>'9.1.1. sz. mell. '!C94+'9.1.2. sz. mell.'!C94</f>
        <v>47818378</v>
      </c>
      <c r="E94" s="777">
        <f>'9.1.1. sz. mell. '!C94+'9.1.2. sz. mell.'!C94</f>
        <v>47818378</v>
      </c>
      <c r="F94" s="779">
        <f>'9.1.1. sz. mell. '!C94+'9.1.2. sz. mell.'!C94</f>
        <v>47818378</v>
      </c>
      <c r="G94" s="780">
        <f t="shared" si="2"/>
        <v>0</v>
      </c>
      <c r="H94" s="777">
        <f t="shared" si="3"/>
        <v>0</v>
      </c>
    </row>
    <row r="95" spans="1:8" ht="12" customHeight="1" x14ac:dyDescent="0.2">
      <c r="A95" s="334" t="s">
        <v>115</v>
      </c>
      <c r="B95" s="7" t="s">
        <v>190</v>
      </c>
      <c r="C95" s="411">
        <f>500965+4771305+13275+17258+2940000+14000+207615+1015000</f>
        <v>9479418</v>
      </c>
      <c r="D95" s="777">
        <f>'9.1.1. sz. mell. '!C95+'9.1.2. sz. mell.'!C95</f>
        <v>9479418</v>
      </c>
      <c r="E95" s="777">
        <f>'9.1.1. sz. mell. '!C95+'9.1.2. sz. mell.'!C95</f>
        <v>9479418</v>
      </c>
      <c r="F95" s="781">
        <f>'9.1.1. sz. mell. '!C95+'9.1.2. sz. mell.'!C95</f>
        <v>9479418</v>
      </c>
      <c r="G95" s="782">
        <f t="shared" si="2"/>
        <v>0</v>
      </c>
      <c r="H95" s="777">
        <f t="shared" si="3"/>
        <v>0</v>
      </c>
    </row>
    <row r="96" spans="1:8" ht="12" customHeight="1" x14ac:dyDescent="0.2">
      <c r="A96" s="334" t="s">
        <v>116</v>
      </c>
      <c r="B96" s="7" t="s">
        <v>151</v>
      </c>
      <c r="C96" s="415">
        <f>13447475+835000+16099000+50000+52909601+3082677+6787092+2456000+4504030+871220+397000+194467+34163000+50473064+34200000+3285067+156511+9000000+563000+17207888+2681000+3300000+17042731+48545760+500000+381000</f>
        <v>323132583</v>
      </c>
      <c r="D96" s="777">
        <f>'9.1.1. sz. mell. '!C96+'9.1.2. sz. mell.'!C96</f>
        <v>323132583</v>
      </c>
      <c r="E96" s="777">
        <f>'9.1.1. sz. mell. '!C96+'9.1.2. sz. mell.'!C96</f>
        <v>323132583</v>
      </c>
      <c r="F96" s="781">
        <f>'9.1.1. sz. mell. '!C96+'9.1.2. sz. mell.'!C96</f>
        <v>323132583</v>
      </c>
      <c r="G96" s="782">
        <f t="shared" si="2"/>
        <v>0</v>
      </c>
      <c r="H96" s="777">
        <f t="shared" si="3"/>
        <v>0</v>
      </c>
    </row>
    <row r="97" spans="1:8" ht="12" customHeight="1" x14ac:dyDescent="0.2">
      <c r="A97" s="334" t="s">
        <v>117</v>
      </c>
      <c r="B97" s="10" t="s">
        <v>191</v>
      </c>
      <c r="C97" s="415">
        <f>69500000+3500000</f>
        <v>73000000</v>
      </c>
      <c r="D97" s="777">
        <f>'9.1.1. sz. mell. '!C97+'9.1.2. sz. mell.'!C97</f>
        <v>73000000</v>
      </c>
      <c r="E97" s="777">
        <f>'9.1.1. sz. mell. '!C97+'9.1.2. sz. mell.'!C97</f>
        <v>73000000</v>
      </c>
      <c r="F97" s="781">
        <f>'9.1.1. sz. mell. '!C97+'9.1.2. sz. mell.'!C97</f>
        <v>73000000</v>
      </c>
      <c r="G97" s="782">
        <f t="shared" si="2"/>
        <v>0</v>
      </c>
      <c r="H97" s="777">
        <f t="shared" si="3"/>
        <v>0</v>
      </c>
    </row>
    <row r="98" spans="1:8" ht="12" customHeight="1" x14ac:dyDescent="0.2">
      <c r="A98" s="334" t="s">
        <v>128</v>
      </c>
      <c r="B98" s="18" t="s">
        <v>192</v>
      </c>
      <c r="C98" s="415">
        <f>45183973+52959801+660000+100000+49357310</f>
        <v>148261084</v>
      </c>
      <c r="D98" s="777">
        <f>'9.1.1. sz. mell. '!C98+'9.1.2. sz. mell.'!C98</f>
        <v>148261084</v>
      </c>
      <c r="E98" s="777">
        <f>'9.1.1. sz. mell. '!C98+'9.1.2. sz. mell.'!C98</f>
        <v>148261084</v>
      </c>
      <c r="F98" s="781">
        <f>'9.1.1. sz. mell. '!C98+'9.1.2. sz. mell.'!C98</f>
        <v>148261084</v>
      </c>
      <c r="G98" s="782">
        <f t="shared" si="2"/>
        <v>0</v>
      </c>
      <c r="H98" s="777">
        <f t="shared" si="3"/>
        <v>0</v>
      </c>
    </row>
    <row r="99" spans="1:8" ht="12" customHeight="1" x14ac:dyDescent="0.2">
      <c r="A99" s="334" t="s">
        <v>118</v>
      </c>
      <c r="B99" s="7" t="s">
        <v>616</v>
      </c>
      <c r="C99" s="415">
        <v>100000</v>
      </c>
      <c r="D99" s="777">
        <f>'9.1.1. sz. mell. '!C99+'9.1.2. sz. mell.'!C99</f>
        <v>100000</v>
      </c>
      <c r="E99" s="777">
        <f>'9.1.1. sz. mell. '!C99+'9.1.2. sz. mell.'!C99</f>
        <v>100000</v>
      </c>
      <c r="F99" s="781">
        <f>'9.1.1. sz. mell. '!C99+'9.1.2. sz. mell.'!C99</f>
        <v>100000</v>
      </c>
      <c r="G99" s="782">
        <f t="shared" si="2"/>
        <v>0</v>
      </c>
      <c r="H99" s="777">
        <f t="shared" si="3"/>
        <v>0</v>
      </c>
    </row>
    <row r="100" spans="1:8" ht="12" customHeight="1" x14ac:dyDescent="0.2">
      <c r="A100" s="334" t="s">
        <v>119</v>
      </c>
      <c r="B100" s="106" t="s">
        <v>564</v>
      </c>
      <c r="C100" s="415"/>
      <c r="D100" s="777">
        <f>'9.1.1. sz. mell. '!C100+'9.1.2. sz. mell.'!C100</f>
        <v>0</v>
      </c>
      <c r="E100" s="777">
        <f>'9.1.1. sz. mell. '!C100+'9.1.2. sz. mell.'!C100</f>
        <v>0</v>
      </c>
      <c r="F100" s="781">
        <f>'9.1.1. sz. mell. '!C100+'9.1.2. sz. mell.'!C100</f>
        <v>0</v>
      </c>
      <c r="G100" s="782">
        <f t="shared" si="2"/>
        <v>0</v>
      </c>
      <c r="H100" s="777">
        <f t="shared" si="3"/>
        <v>0</v>
      </c>
    </row>
    <row r="101" spans="1:8" ht="12" customHeight="1" x14ac:dyDescent="0.2">
      <c r="A101" s="334" t="s">
        <v>129</v>
      </c>
      <c r="B101" s="106" t="s">
        <v>565</v>
      </c>
      <c r="C101" s="415"/>
      <c r="D101" s="777">
        <f>'9.1.1. sz. mell. '!C101+'9.1.2. sz. mell.'!C101</f>
        <v>0</v>
      </c>
      <c r="E101" s="777">
        <f>'9.1.1. sz. mell. '!C101+'9.1.2. sz. mell.'!C101</f>
        <v>0</v>
      </c>
      <c r="F101" s="781">
        <f>'9.1.1. sz. mell. '!C101+'9.1.2. sz. mell.'!C101</f>
        <v>0</v>
      </c>
      <c r="G101" s="782">
        <f t="shared" si="2"/>
        <v>0</v>
      </c>
      <c r="H101" s="777">
        <f t="shared" si="3"/>
        <v>0</v>
      </c>
    </row>
    <row r="102" spans="1:8" ht="12" customHeight="1" x14ac:dyDescent="0.2">
      <c r="A102" s="334" t="s">
        <v>130</v>
      </c>
      <c r="B102" s="106" t="s">
        <v>366</v>
      </c>
      <c r="C102" s="415"/>
      <c r="D102" s="777">
        <f>'9.1.1. sz. mell. '!C102+'9.1.2. sz. mell.'!C102</f>
        <v>0</v>
      </c>
      <c r="E102" s="777">
        <f>'9.1.1. sz. mell. '!C102+'9.1.2. sz. mell.'!C102</f>
        <v>0</v>
      </c>
      <c r="F102" s="781">
        <f>'9.1.1. sz. mell. '!C102+'9.1.2. sz. mell.'!C102</f>
        <v>0</v>
      </c>
      <c r="G102" s="782">
        <f t="shared" si="2"/>
        <v>0</v>
      </c>
      <c r="H102" s="777">
        <f t="shared" si="3"/>
        <v>0</v>
      </c>
    </row>
    <row r="103" spans="1:8" ht="12" customHeight="1" x14ac:dyDescent="0.2">
      <c r="A103" s="334" t="s">
        <v>131</v>
      </c>
      <c r="B103" s="107" t="s">
        <v>367</v>
      </c>
      <c r="C103" s="415"/>
      <c r="D103" s="777">
        <f>'9.1.1. sz. mell. '!C103+'9.1.2. sz. mell.'!C103</f>
        <v>0</v>
      </c>
      <c r="E103" s="777">
        <f>'9.1.1. sz. mell. '!C103+'9.1.2. sz. mell.'!C103</f>
        <v>0</v>
      </c>
      <c r="F103" s="781">
        <f>'9.1.1. sz. mell. '!C103+'9.1.2. sz. mell.'!C103</f>
        <v>0</v>
      </c>
      <c r="G103" s="782">
        <f t="shared" si="2"/>
        <v>0</v>
      </c>
      <c r="H103" s="777">
        <f t="shared" si="3"/>
        <v>0</v>
      </c>
    </row>
    <row r="104" spans="1:8" ht="12" customHeight="1" x14ac:dyDescent="0.2">
      <c r="A104" s="334" t="s">
        <v>132</v>
      </c>
      <c r="B104" s="107" t="s">
        <v>368</v>
      </c>
      <c r="C104" s="415"/>
      <c r="D104" s="777">
        <f>'9.1.1. sz. mell. '!C104+'9.1.2. sz. mell.'!C104</f>
        <v>0</v>
      </c>
      <c r="E104" s="777">
        <f>'9.1.1. sz. mell. '!C104+'9.1.2. sz. mell.'!C104</f>
        <v>0</v>
      </c>
      <c r="F104" s="781">
        <f>'9.1.1. sz. mell. '!C104+'9.1.2. sz. mell.'!C104</f>
        <v>0</v>
      </c>
      <c r="G104" s="782">
        <f t="shared" si="2"/>
        <v>0</v>
      </c>
      <c r="H104" s="777">
        <f t="shared" si="3"/>
        <v>0</v>
      </c>
    </row>
    <row r="105" spans="1:8" ht="12" customHeight="1" x14ac:dyDescent="0.2">
      <c r="A105" s="334" t="s">
        <v>134</v>
      </c>
      <c r="B105" s="106" t="s">
        <v>369</v>
      </c>
      <c r="C105" s="415"/>
      <c r="D105" s="777">
        <f>'9.1.1. sz. mell. '!C105+'9.1.2. sz. mell.'!C105</f>
        <v>0</v>
      </c>
      <c r="E105" s="777">
        <f>'9.1.1. sz. mell. '!C105+'9.1.2. sz. mell.'!C105</f>
        <v>0</v>
      </c>
      <c r="F105" s="781">
        <f>'9.1.1. sz. mell. '!C105+'9.1.2. sz. mell.'!C105</f>
        <v>0</v>
      </c>
      <c r="G105" s="782">
        <f t="shared" si="2"/>
        <v>0</v>
      </c>
      <c r="H105" s="777">
        <f t="shared" si="3"/>
        <v>0</v>
      </c>
    </row>
    <row r="106" spans="1:8" ht="12" customHeight="1" x14ac:dyDescent="0.2">
      <c r="A106" s="334" t="s">
        <v>193</v>
      </c>
      <c r="B106" s="106" t="s">
        <v>370</v>
      </c>
      <c r="C106" s="415"/>
      <c r="D106" s="777">
        <f>'9.1.1. sz. mell. '!C106+'9.1.2. sz. mell.'!C106</f>
        <v>0</v>
      </c>
      <c r="E106" s="777">
        <f>'9.1.1. sz. mell. '!C106+'9.1.2. sz. mell.'!C106</f>
        <v>0</v>
      </c>
      <c r="F106" s="781">
        <f>'9.1.1. sz. mell. '!C106+'9.1.2. sz. mell.'!C106</f>
        <v>0</v>
      </c>
      <c r="G106" s="782">
        <f t="shared" si="2"/>
        <v>0</v>
      </c>
      <c r="H106" s="777">
        <f t="shared" si="3"/>
        <v>0</v>
      </c>
    </row>
    <row r="107" spans="1:8" ht="12" customHeight="1" x14ac:dyDescent="0.2">
      <c r="A107" s="334" t="s">
        <v>364</v>
      </c>
      <c r="B107" s="107" t="s">
        <v>371</v>
      </c>
      <c r="C107" s="415"/>
      <c r="D107" s="777">
        <f>'9.1.1. sz. mell. '!C107+'9.1.2. sz. mell.'!C107</f>
        <v>0</v>
      </c>
      <c r="E107" s="777">
        <f>'9.1.1. sz. mell. '!C107+'9.1.2. sz. mell.'!C107</f>
        <v>0</v>
      </c>
      <c r="F107" s="781">
        <f>'9.1.1. sz. mell. '!C107+'9.1.2. sz. mell.'!C107</f>
        <v>0</v>
      </c>
      <c r="G107" s="782">
        <f t="shared" si="2"/>
        <v>0</v>
      </c>
      <c r="H107" s="777">
        <f t="shared" si="3"/>
        <v>0</v>
      </c>
    </row>
    <row r="108" spans="1:8" ht="12" customHeight="1" x14ac:dyDescent="0.2">
      <c r="A108" s="342" t="s">
        <v>365</v>
      </c>
      <c r="B108" s="108" t="s">
        <v>372</v>
      </c>
      <c r="C108" s="415"/>
      <c r="D108" s="777">
        <f>'9.1.1. sz. mell. '!C108+'9.1.2. sz. mell.'!C108</f>
        <v>0</v>
      </c>
      <c r="E108" s="777">
        <f>'9.1.1. sz. mell. '!C108+'9.1.2. sz. mell.'!C108</f>
        <v>0</v>
      </c>
      <c r="F108" s="781">
        <f>'9.1.1. sz. mell. '!C108+'9.1.2. sz. mell.'!C108</f>
        <v>0</v>
      </c>
      <c r="G108" s="782">
        <f t="shared" si="2"/>
        <v>0</v>
      </c>
      <c r="H108" s="777">
        <f t="shared" si="3"/>
        <v>0</v>
      </c>
    </row>
    <row r="109" spans="1:8" ht="12" customHeight="1" x14ac:dyDescent="0.2">
      <c r="A109" s="334" t="s">
        <v>566</v>
      </c>
      <c r="B109" s="108" t="s">
        <v>373</v>
      </c>
      <c r="C109" s="415"/>
      <c r="D109" s="777">
        <f>'9.1.1. sz. mell. '!C109+'9.1.2. sz. mell.'!C109</f>
        <v>0</v>
      </c>
      <c r="E109" s="777">
        <f>'9.1.1. sz. mell. '!C109+'9.1.2. sz. mell.'!C109</f>
        <v>0</v>
      </c>
      <c r="F109" s="781">
        <f>'9.1.1. sz. mell. '!C109+'9.1.2. sz. mell.'!C109</f>
        <v>0</v>
      </c>
      <c r="G109" s="782">
        <f t="shared" si="2"/>
        <v>0</v>
      </c>
      <c r="H109" s="777">
        <f t="shared" si="3"/>
        <v>0</v>
      </c>
    </row>
    <row r="110" spans="1:8" ht="12" customHeight="1" x14ac:dyDescent="0.2">
      <c r="A110" s="334" t="s">
        <v>567</v>
      </c>
      <c r="B110" s="107" t="s">
        <v>374</v>
      </c>
      <c r="C110" s="411">
        <f>5697126+16985629+22501218+52959801+660000+49357310</f>
        <v>148161084</v>
      </c>
      <c r="D110" s="777">
        <f>'9.1.1. sz. mell. '!C110+'9.1.2. sz. mell.'!C110</f>
        <v>148161084</v>
      </c>
      <c r="E110" s="777">
        <f>'9.1.1. sz. mell. '!C110+'9.1.2. sz. mell.'!C110</f>
        <v>148161084</v>
      </c>
      <c r="F110" s="781">
        <f>'9.1.1. sz. mell. '!C110+'9.1.2. sz. mell.'!C110</f>
        <v>148161084</v>
      </c>
      <c r="G110" s="782">
        <f t="shared" si="2"/>
        <v>0</v>
      </c>
      <c r="H110" s="777">
        <f t="shared" si="3"/>
        <v>0</v>
      </c>
    </row>
    <row r="111" spans="1:8" ht="12" customHeight="1" x14ac:dyDescent="0.2">
      <c r="A111" s="334" t="s">
        <v>568</v>
      </c>
      <c r="B111" s="10" t="s">
        <v>63</v>
      </c>
      <c r="C111" s="237">
        <f>C112+C113</f>
        <v>80846522</v>
      </c>
      <c r="D111" s="777">
        <f>'9.1.1. sz. mell. '!C111+'9.1.2. sz. mell.'!C111</f>
        <v>80846522</v>
      </c>
      <c r="E111" s="777">
        <f>'9.1.1. sz. mell. '!C111+'9.1.2. sz. mell.'!C111</f>
        <v>80846522</v>
      </c>
      <c r="F111" s="781">
        <f>'9.1.1. sz. mell. '!C111+'9.1.2. sz. mell.'!C111</f>
        <v>80846522</v>
      </c>
      <c r="G111" s="782">
        <f t="shared" si="2"/>
        <v>0</v>
      </c>
      <c r="H111" s="777">
        <f t="shared" si="3"/>
        <v>0</v>
      </c>
    </row>
    <row r="112" spans="1:8" ht="12" customHeight="1" x14ac:dyDescent="0.2">
      <c r="A112" s="335" t="s">
        <v>569</v>
      </c>
      <c r="B112" s="7" t="s">
        <v>617</v>
      </c>
      <c r="C112" s="415">
        <v>15000000</v>
      </c>
      <c r="D112" s="777">
        <f>'9.1.1. sz. mell. '!C112+'9.1.2. sz. mell.'!C112</f>
        <v>15000000</v>
      </c>
      <c r="E112" s="777">
        <f>'9.1.1. sz. mell. '!C112+'9.1.2. sz. mell.'!C112</f>
        <v>15000000</v>
      </c>
      <c r="F112" s="781">
        <f>'9.1.1. sz. mell. '!C112+'9.1.2. sz. mell.'!C112</f>
        <v>15000000</v>
      </c>
      <c r="G112" s="782">
        <f t="shared" si="2"/>
        <v>0</v>
      </c>
      <c r="H112" s="777">
        <f t="shared" si="3"/>
        <v>0</v>
      </c>
    </row>
    <row r="113" spans="1:8" ht="12" customHeight="1" thickBot="1" x14ac:dyDescent="0.25">
      <c r="A113" s="343" t="s">
        <v>571</v>
      </c>
      <c r="B113" s="109" t="s">
        <v>618</v>
      </c>
      <c r="C113" s="529">
        <v>65846522</v>
      </c>
      <c r="D113" s="777">
        <f>'9.1.1. sz. mell. '!C113+'9.1.2. sz. mell.'!C113</f>
        <v>65846522</v>
      </c>
      <c r="E113" s="777">
        <f>'9.1.1. sz. mell. '!C113+'9.1.2. sz. mell.'!C113</f>
        <v>65846522</v>
      </c>
      <c r="F113" s="783">
        <f>'9.1.1. sz. mell. '!C113+'9.1.2. sz. mell.'!C113</f>
        <v>65846522</v>
      </c>
      <c r="G113" s="784">
        <f t="shared" si="2"/>
        <v>0</v>
      </c>
      <c r="H113" s="777">
        <f t="shared" si="3"/>
        <v>0</v>
      </c>
    </row>
    <row r="114" spans="1:8" ht="12" customHeight="1" thickBot="1" x14ac:dyDescent="0.25">
      <c r="A114" s="31" t="s">
        <v>32</v>
      </c>
      <c r="B114" s="24" t="s">
        <v>375</v>
      </c>
      <c r="C114" s="233">
        <f>+C115+C117+C119</f>
        <v>529079194</v>
      </c>
      <c r="D114" s="777">
        <f>'9.1.1. sz. mell. '!C114+'9.1.2. sz. mell.'!C114</f>
        <v>529079194</v>
      </c>
      <c r="E114" s="777">
        <f>'9.1.1. sz. mell. '!C114+'9.1.2. sz. mell.'!C114</f>
        <v>529079194</v>
      </c>
      <c r="F114" s="778">
        <f>'9.1.1. sz. mell. '!C114+'9.1.2. sz. mell.'!C114</f>
        <v>529079194</v>
      </c>
      <c r="G114" s="778">
        <f t="shared" si="2"/>
        <v>0</v>
      </c>
      <c r="H114" s="777">
        <f t="shared" si="3"/>
        <v>0</v>
      </c>
    </row>
    <row r="115" spans="1:8" ht="12" customHeight="1" x14ac:dyDescent="0.2">
      <c r="A115" s="333" t="s">
        <v>120</v>
      </c>
      <c r="B115" s="7" t="s">
        <v>236</v>
      </c>
      <c r="C115" s="451">
        <f>359410+2345001+219008101+12873483+381000+1500000+3139585+33894811+377190+2338070+4950460</f>
        <v>281167111</v>
      </c>
      <c r="D115" s="777">
        <f>'9.1.1. sz. mell. '!C115+'9.1.2. sz. mell.'!C115</f>
        <v>281167111</v>
      </c>
      <c r="E115" s="777">
        <f>'9.1.1. sz. mell. '!C115+'9.1.2. sz. mell.'!C115</f>
        <v>281167111</v>
      </c>
      <c r="F115" s="779">
        <f>'9.1.1. sz. mell. '!C115+'9.1.2. sz. mell.'!C115</f>
        <v>281167111</v>
      </c>
      <c r="G115" s="780">
        <f t="shared" si="2"/>
        <v>0</v>
      </c>
      <c r="H115" s="777">
        <f t="shared" si="3"/>
        <v>0</v>
      </c>
    </row>
    <row r="116" spans="1:8" ht="12" customHeight="1" x14ac:dyDescent="0.2">
      <c r="A116" s="333" t="s">
        <v>121</v>
      </c>
      <c r="B116" s="11" t="s">
        <v>379</v>
      </c>
      <c r="C116" s="945">
        <f>12873483+33259811+218246101</f>
        <v>264379395</v>
      </c>
      <c r="D116" s="777">
        <f>'9.1.1. sz. mell. '!C116+'9.1.2. sz. mell.'!C116</f>
        <v>264379395</v>
      </c>
      <c r="E116" s="777">
        <f>'9.1.1. sz. mell. '!C116+'9.1.2. sz. mell.'!C116</f>
        <v>264379395</v>
      </c>
      <c r="F116" s="781">
        <f>'9.1.1. sz. mell. '!C116+'9.1.2. sz. mell.'!C116</f>
        <v>264379395</v>
      </c>
      <c r="G116" s="782">
        <f t="shared" si="2"/>
        <v>0</v>
      </c>
      <c r="H116" s="777">
        <f t="shared" si="3"/>
        <v>0</v>
      </c>
    </row>
    <row r="117" spans="1:8" ht="12" customHeight="1" x14ac:dyDescent="0.2">
      <c r="A117" s="333" t="s">
        <v>122</v>
      </c>
      <c r="B117" s="11" t="s">
        <v>194</v>
      </c>
      <c r="C117" s="411">
        <f>180701362+1500000</f>
        <v>182201362</v>
      </c>
      <c r="D117" s="777">
        <f>'9.1.1. sz. mell. '!C117+'9.1.2. sz. mell.'!C117</f>
        <v>182201362</v>
      </c>
      <c r="E117" s="777">
        <f>'9.1.1. sz. mell. '!C117+'9.1.2. sz. mell.'!C117</f>
        <v>182201362</v>
      </c>
      <c r="F117" s="781">
        <f>'9.1.1. sz. mell. '!C117+'9.1.2. sz. mell.'!C117</f>
        <v>182201362</v>
      </c>
      <c r="G117" s="782">
        <f t="shared" si="2"/>
        <v>0</v>
      </c>
      <c r="H117" s="777">
        <f t="shared" si="3"/>
        <v>0</v>
      </c>
    </row>
    <row r="118" spans="1:8" ht="12" customHeight="1" x14ac:dyDescent="0.2">
      <c r="A118" s="333" t="s">
        <v>123</v>
      </c>
      <c r="B118" s="11" t="s">
        <v>380</v>
      </c>
      <c r="C118" s="944">
        <v>146098020</v>
      </c>
      <c r="D118" s="777">
        <f>'9.1.1. sz. mell. '!C118+'9.1.2. sz. mell.'!C118</f>
        <v>146098020</v>
      </c>
      <c r="E118" s="777">
        <f>'9.1.1. sz. mell. '!C118+'9.1.2. sz. mell.'!C118</f>
        <v>146098020</v>
      </c>
      <c r="F118" s="781">
        <f>'9.1.1. sz. mell. '!C118+'9.1.2. sz. mell.'!C118</f>
        <v>146098020</v>
      </c>
      <c r="G118" s="782">
        <f t="shared" si="2"/>
        <v>0</v>
      </c>
      <c r="H118" s="777">
        <f t="shared" si="3"/>
        <v>0</v>
      </c>
    </row>
    <row r="119" spans="1:8" ht="12" customHeight="1" x14ac:dyDescent="0.2">
      <c r="A119" s="333" t="s">
        <v>124</v>
      </c>
      <c r="B119" s="230" t="s">
        <v>238</v>
      </c>
      <c r="C119" s="411">
        <v>65710721</v>
      </c>
      <c r="D119" s="777">
        <f>'9.1.1. sz. mell. '!C119+'9.1.2. sz. mell.'!C119</f>
        <v>65710721</v>
      </c>
      <c r="E119" s="777">
        <f>'9.1.1. sz. mell. '!C119+'9.1.2. sz. mell.'!C119</f>
        <v>65710721</v>
      </c>
      <c r="F119" s="781">
        <f>'9.1.1. sz. mell. '!C119+'9.1.2. sz. mell.'!C119</f>
        <v>65710721</v>
      </c>
      <c r="G119" s="782">
        <f t="shared" si="2"/>
        <v>0</v>
      </c>
      <c r="H119" s="777">
        <f t="shared" si="3"/>
        <v>0</v>
      </c>
    </row>
    <row r="120" spans="1:8" ht="12" customHeight="1" x14ac:dyDescent="0.2">
      <c r="A120" s="333" t="s">
        <v>133</v>
      </c>
      <c r="B120" s="229" t="s">
        <v>442</v>
      </c>
      <c r="C120" s="217"/>
      <c r="D120" s="777">
        <f>'9.1.1. sz. mell. '!C120+'9.1.2. sz. mell.'!C120</f>
        <v>0</v>
      </c>
      <c r="E120" s="777">
        <f>'9.1.1. sz. mell. '!C120+'9.1.2. sz. mell.'!C120</f>
        <v>0</v>
      </c>
      <c r="F120" s="781">
        <f>'9.1.1. sz. mell. '!C120+'9.1.2. sz. mell.'!C120</f>
        <v>0</v>
      </c>
      <c r="G120" s="782">
        <f t="shared" si="2"/>
        <v>0</v>
      </c>
      <c r="H120" s="777">
        <f t="shared" si="3"/>
        <v>0</v>
      </c>
    </row>
    <row r="121" spans="1:8" ht="12" customHeight="1" x14ac:dyDescent="0.2">
      <c r="A121" s="333" t="s">
        <v>135</v>
      </c>
      <c r="B121" s="315" t="s">
        <v>385</v>
      </c>
      <c r="C121" s="217"/>
      <c r="D121" s="777">
        <f>'9.1.1. sz. mell. '!C121+'9.1.2. sz. mell.'!C121</f>
        <v>0</v>
      </c>
      <c r="E121" s="777">
        <f>'9.1.1. sz. mell. '!C121+'9.1.2. sz. mell.'!C121</f>
        <v>0</v>
      </c>
      <c r="F121" s="781">
        <f>'9.1.1. sz. mell. '!C121+'9.1.2. sz. mell.'!C121</f>
        <v>0</v>
      </c>
      <c r="G121" s="782">
        <f t="shared" si="2"/>
        <v>0</v>
      </c>
      <c r="H121" s="777">
        <f t="shared" si="3"/>
        <v>0</v>
      </c>
    </row>
    <row r="122" spans="1:8" ht="12" customHeight="1" x14ac:dyDescent="0.2">
      <c r="A122" s="333" t="s">
        <v>195</v>
      </c>
      <c r="B122" s="107" t="s">
        <v>368</v>
      </c>
      <c r="C122" s="217"/>
      <c r="D122" s="777">
        <f>'9.1.1. sz. mell. '!C122+'9.1.2. sz. mell.'!C122</f>
        <v>0</v>
      </c>
      <c r="E122" s="777">
        <f>'9.1.1. sz. mell. '!C122+'9.1.2. sz. mell.'!C122</f>
        <v>0</v>
      </c>
      <c r="F122" s="781">
        <f>'9.1.1. sz. mell. '!C122+'9.1.2. sz. mell.'!C122</f>
        <v>0</v>
      </c>
      <c r="G122" s="782">
        <f t="shared" si="2"/>
        <v>0</v>
      </c>
      <c r="H122" s="777">
        <f t="shared" si="3"/>
        <v>0</v>
      </c>
    </row>
    <row r="123" spans="1:8" ht="12" customHeight="1" x14ac:dyDescent="0.2">
      <c r="A123" s="333" t="s">
        <v>196</v>
      </c>
      <c r="B123" s="107" t="s">
        <v>384</v>
      </c>
      <c r="C123" s="217"/>
      <c r="D123" s="777">
        <f>'9.1.1. sz. mell. '!C123+'9.1.2. sz. mell.'!C123</f>
        <v>0</v>
      </c>
      <c r="E123" s="777">
        <f>'9.1.1. sz. mell. '!C123+'9.1.2. sz. mell.'!C123</f>
        <v>0</v>
      </c>
      <c r="F123" s="781">
        <f>'9.1.1. sz. mell. '!C123+'9.1.2. sz. mell.'!C123</f>
        <v>0</v>
      </c>
      <c r="G123" s="782">
        <f t="shared" si="2"/>
        <v>0</v>
      </c>
      <c r="H123" s="777">
        <f t="shared" si="3"/>
        <v>0</v>
      </c>
    </row>
    <row r="124" spans="1:8" ht="12" customHeight="1" x14ac:dyDescent="0.2">
      <c r="A124" s="333" t="s">
        <v>197</v>
      </c>
      <c r="B124" s="107" t="s">
        <v>383</v>
      </c>
      <c r="C124" s="217"/>
      <c r="D124" s="777">
        <f>'9.1.1. sz. mell. '!C124+'9.1.2. sz. mell.'!C124</f>
        <v>0</v>
      </c>
      <c r="E124" s="777">
        <f>'9.1.1. sz. mell. '!C124+'9.1.2. sz. mell.'!C124</f>
        <v>0</v>
      </c>
      <c r="F124" s="781">
        <f>'9.1.1. sz. mell. '!C124+'9.1.2. sz. mell.'!C124</f>
        <v>0</v>
      </c>
      <c r="G124" s="782">
        <f t="shared" si="2"/>
        <v>0</v>
      </c>
      <c r="H124" s="777">
        <f t="shared" si="3"/>
        <v>0</v>
      </c>
    </row>
    <row r="125" spans="1:8" ht="12" customHeight="1" x14ac:dyDescent="0.2">
      <c r="A125" s="333" t="s">
        <v>376</v>
      </c>
      <c r="B125" s="107" t="s">
        <v>371</v>
      </c>
      <c r="C125" s="217"/>
      <c r="D125" s="777">
        <f>'9.1.1. sz. mell. '!C125+'9.1.2. sz. mell.'!C125</f>
        <v>0</v>
      </c>
      <c r="E125" s="777">
        <f>'9.1.1. sz. mell. '!C125+'9.1.2. sz. mell.'!C125</f>
        <v>0</v>
      </c>
      <c r="F125" s="781">
        <f>'9.1.1. sz. mell. '!C125+'9.1.2. sz. mell.'!C125</f>
        <v>0</v>
      </c>
      <c r="G125" s="782">
        <f t="shared" si="2"/>
        <v>0</v>
      </c>
      <c r="H125" s="777">
        <f t="shared" si="3"/>
        <v>0</v>
      </c>
    </row>
    <row r="126" spans="1:8" ht="12" customHeight="1" x14ac:dyDescent="0.2">
      <c r="A126" s="333" t="s">
        <v>377</v>
      </c>
      <c r="B126" s="107" t="s">
        <v>382</v>
      </c>
      <c r="C126" s="217"/>
      <c r="D126" s="777">
        <f>'9.1.1. sz. mell. '!C126+'9.1.2. sz. mell.'!C126</f>
        <v>0</v>
      </c>
      <c r="E126" s="777">
        <f>'9.1.1. sz. mell. '!C126+'9.1.2. sz. mell.'!C126</f>
        <v>0</v>
      </c>
      <c r="F126" s="781">
        <f>'9.1.1. sz. mell. '!C126+'9.1.2. sz. mell.'!C126</f>
        <v>0</v>
      </c>
      <c r="G126" s="782">
        <f t="shared" si="2"/>
        <v>0</v>
      </c>
      <c r="H126" s="777">
        <f t="shared" si="3"/>
        <v>0</v>
      </c>
    </row>
    <row r="127" spans="1:8" ht="12" customHeight="1" thickBot="1" x14ac:dyDescent="0.25">
      <c r="A127" s="342" t="s">
        <v>378</v>
      </c>
      <c r="B127" s="107" t="s">
        <v>381</v>
      </c>
      <c r="C127" s="415">
        <v>65710721</v>
      </c>
      <c r="D127" s="777">
        <f>'9.1.1. sz. mell. '!C127+'9.1.2. sz. mell.'!C127</f>
        <v>65710721</v>
      </c>
      <c r="E127" s="777">
        <f>'9.1.1. sz. mell. '!C127+'9.1.2. sz. mell.'!C127</f>
        <v>65710721</v>
      </c>
      <c r="F127" s="783">
        <f>'9.1.1. sz. mell. '!C127+'9.1.2. sz. mell.'!C127</f>
        <v>65710721</v>
      </c>
      <c r="G127" s="784">
        <f t="shared" si="2"/>
        <v>0</v>
      </c>
      <c r="H127" s="777">
        <f t="shared" si="3"/>
        <v>0</v>
      </c>
    </row>
    <row r="128" spans="1:8" ht="12" customHeight="1" thickBot="1" x14ac:dyDescent="0.25">
      <c r="A128" s="31" t="s">
        <v>33</v>
      </c>
      <c r="B128" s="98" t="s">
        <v>573</v>
      </c>
      <c r="C128" s="233">
        <f>+C93+C114</f>
        <v>1211617179</v>
      </c>
      <c r="D128" s="777">
        <f>'9.1.1. sz. mell. '!C128+'9.1.2. sz. mell.'!C128</f>
        <v>1211617179</v>
      </c>
      <c r="E128" s="777">
        <f>'9.1.1. sz. mell. '!C128+'9.1.2. sz. mell.'!C128</f>
        <v>1211617179</v>
      </c>
      <c r="F128" s="778">
        <f>'9.1.1. sz. mell. '!C128+'9.1.2. sz. mell.'!C128</f>
        <v>1211617179</v>
      </c>
      <c r="G128" s="778">
        <f t="shared" si="2"/>
        <v>0</v>
      </c>
      <c r="H128" s="777">
        <f t="shared" si="3"/>
        <v>0</v>
      </c>
    </row>
    <row r="129" spans="1:11" ht="12" customHeight="1" thickBot="1" x14ac:dyDescent="0.25">
      <c r="A129" s="31" t="s">
        <v>34</v>
      </c>
      <c r="B129" s="98" t="s">
        <v>574</v>
      </c>
      <c r="C129" s="233">
        <f>+C130+C131+C132</f>
        <v>108486704</v>
      </c>
      <c r="D129" s="777">
        <f>'9.1.1. sz. mell. '!C129+'9.1.2. sz. mell.'!C129</f>
        <v>108486704</v>
      </c>
      <c r="E129" s="777">
        <f>'9.1.1. sz. mell. '!C129+'9.1.2. sz. mell.'!C129</f>
        <v>108486704</v>
      </c>
      <c r="F129" s="778">
        <f>'9.1.1. sz. mell. '!C129+'9.1.2. sz. mell.'!C129</f>
        <v>108486704</v>
      </c>
      <c r="G129" s="778">
        <f t="shared" si="2"/>
        <v>0</v>
      </c>
      <c r="H129" s="777">
        <f t="shared" si="3"/>
        <v>0</v>
      </c>
    </row>
    <row r="130" spans="1:11" s="78" customFormat="1" ht="12" customHeight="1" x14ac:dyDescent="0.2">
      <c r="A130" s="333" t="s">
        <v>276</v>
      </c>
      <c r="B130" s="8" t="s">
        <v>619</v>
      </c>
      <c r="C130" s="411">
        <f>4042704+4444000</f>
        <v>8486704</v>
      </c>
      <c r="D130" s="777">
        <f>'9.1.1. sz. mell. '!C130+'9.1.2. sz. mell.'!C130</f>
        <v>8486704</v>
      </c>
      <c r="E130" s="777">
        <f>'9.1.1. sz. mell. '!C130+'9.1.2. sz. mell.'!C130</f>
        <v>8486704</v>
      </c>
      <c r="F130" s="779">
        <f>'9.1.1. sz. mell. '!C130+'9.1.2. sz. mell.'!C130</f>
        <v>8486704</v>
      </c>
      <c r="G130" s="780">
        <f t="shared" si="2"/>
        <v>0</v>
      </c>
      <c r="H130" s="777">
        <f t="shared" si="3"/>
        <v>0</v>
      </c>
    </row>
    <row r="131" spans="1:11" ht="12" customHeight="1" x14ac:dyDescent="0.2">
      <c r="A131" s="333" t="s">
        <v>279</v>
      </c>
      <c r="B131" s="8" t="s">
        <v>576</v>
      </c>
      <c r="C131" s="217">
        <v>100000000</v>
      </c>
      <c r="D131" s="777">
        <f>'9.1.1. sz. mell. '!C131+'9.1.2. sz. mell.'!C131</f>
        <v>100000000</v>
      </c>
      <c r="E131" s="777">
        <f>'9.1.1. sz. mell. '!C131+'9.1.2. sz. mell.'!C131</f>
        <v>100000000</v>
      </c>
      <c r="F131" s="781">
        <f>'9.1.1. sz. mell. '!C131+'9.1.2. sz. mell.'!C131</f>
        <v>100000000</v>
      </c>
      <c r="G131" s="782">
        <f t="shared" si="2"/>
        <v>0</v>
      </c>
      <c r="H131" s="777">
        <f t="shared" si="3"/>
        <v>0</v>
      </c>
    </row>
    <row r="132" spans="1:11" ht="12" customHeight="1" thickBot="1" x14ac:dyDescent="0.25">
      <c r="A132" s="342" t="s">
        <v>280</v>
      </c>
      <c r="B132" s="6" t="s">
        <v>620</v>
      </c>
      <c r="C132" s="217"/>
      <c r="D132" s="777">
        <f>'9.1.1. sz. mell. '!C132+'9.1.2. sz. mell.'!C132</f>
        <v>0</v>
      </c>
      <c r="E132" s="777">
        <f>'9.1.1. sz. mell. '!C132+'9.1.2. sz. mell.'!C132</f>
        <v>0</v>
      </c>
      <c r="F132" s="783">
        <f>'9.1.1. sz. mell. '!C132+'9.1.2. sz. mell.'!C132</f>
        <v>0</v>
      </c>
      <c r="G132" s="784">
        <f t="shared" si="2"/>
        <v>0</v>
      </c>
      <c r="H132" s="777">
        <f t="shared" si="3"/>
        <v>0</v>
      </c>
    </row>
    <row r="133" spans="1:11" ht="12" customHeight="1" thickBot="1" x14ac:dyDescent="0.25">
      <c r="A133" s="31" t="s">
        <v>35</v>
      </c>
      <c r="B133" s="98" t="s">
        <v>578</v>
      </c>
      <c r="C133" s="233">
        <f>+C134+C135+C136+C137+C138+C139</f>
        <v>0</v>
      </c>
      <c r="D133" s="777">
        <f>'9.1.1. sz. mell. '!C133+'9.1.2. sz. mell.'!C133</f>
        <v>0</v>
      </c>
      <c r="E133" s="777">
        <f>'9.1.1. sz. mell. '!C133+'9.1.2. sz. mell.'!C133</f>
        <v>0</v>
      </c>
      <c r="F133" s="778">
        <f>'9.1.1. sz. mell. '!C133+'9.1.2. sz. mell.'!C133</f>
        <v>0</v>
      </c>
      <c r="G133" s="778">
        <f t="shared" si="2"/>
        <v>0</v>
      </c>
      <c r="H133" s="777">
        <f t="shared" si="3"/>
        <v>0</v>
      </c>
    </row>
    <row r="134" spans="1:11" ht="12" customHeight="1" x14ac:dyDescent="0.2">
      <c r="A134" s="333" t="s">
        <v>107</v>
      </c>
      <c r="B134" s="8" t="s">
        <v>579</v>
      </c>
      <c r="C134" s="217"/>
      <c r="D134" s="777">
        <f>'9.1.1. sz. mell. '!C134+'9.1.2. sz. mell.'!C134</f>
        <v>0</v>
      </c>
      <c r="E134" s="777">
        <f>'9.1.1. sz. mell. '!C134+'9.1.2. sz. mell.'!C134</f>
        <v>0</v>
      </c>
      <c r="F134" s="779">
        <f>'9.1.1. sz. mell. '!C134+'9.1.2. sz. mell.'!C134</f>
        <v>0</v>
      </c>
      <c r="G134" s="780">
        <f t="shared" si="2"/>
        <v>0</v>
      </c>
      <c r="H134" s="777">
        <f t="shared" si="3"/>
        <v>0</v>
      </c>
    </row>
    <row r="135" spans="1:11" ht="12" customHeight="1" x14ac:dyDescent="0.2">
      <c r="A135" s="333" t="s">
        <v>108</v>
      </c>
      <c r="B135" s="8" t="s">
        <v>580</v>
      </c>
      <c r="C135" s="217"/>
      <c r="D135" s="777">
        <f>'9.1.1. sz. mell. '!C135+'9.1.2. sz. mell.'!C135</f>
        <v>0</v>
      </c>
      <c r="E135" s="777">
        <f>'9.1.1. sz. mell. '!C135+'9.1.2. sz. mell.'!C135</f>
        <v>0</v>
      </c>
      <c r="F135" s="781">
        <f>'9.1.1. sz. mell. '!C135+'9.1.2. sz. mell.'!C135</f>
        <v>0</v>
      </c>
      <c r="G135" s="782">
        <f t="shared" si="2"/>
        <v>0</v>
      </c>
      <c r="H135" s="777">
        <f t="shared" si="3"/>
        <v>0</v>
      </c>
    </row>
    <row r="136" spans="1:11" ht="12" customHeight="1" x14ac:dyDescent="0.2">
      <c r="A136" s="333" t="s">
        <v>109</v>
      </c>
      <c r="B136" s="8" t="s">
        <v>581</v>
      </c>
      <c r="C136" s="217"/>
      <c r="D136" s="777">
        <f>'9.1.1. sz. mell. '!C136+'9.1.2. sz. mell.'!C136</f>
        <v>0</v>
      </c>
      <c r="E136" s="777">
        <f>'9.1.1. sz. mell. '!C136+'9.1.2. sz. mell.'!C136</f>
        <v>0</v>
      </c>
      <c r="F136" s="781">
        <f>'9.1.1. sz. mell. '!C136+'9.1.2. sz. mell.'!C136</f>
        <v>0</v>
      </c>
      <c r="G136" s="782">
        <f t="shared" si="2"/>
        <v>0</v>
      </c>
      <c r="H136" s="777">
        <f t="shared" si="3"/>
        <v>0</v>
      </c>
    </row>
    <row r="137" spans="1:11" ht="12" customHeight="1" x14ac:dyDescent="0.2">
      <c r="A137" s="333" t="s">
        <v>182</v>
      </c>
      <c r="B137" s="8" t="s">
        <v>621</v>
      </c>
      <c r="C137" s="217"/>
      <c r="D137" s="777">
        <f>'9.1.1. sz. mell. '!C137+'9.1.2. sz. mell.'!C137</f>
        <v>0</v>
      </c>
      <c r="E137" s="777">
        <f>'9.1.1. sz. mell. '!C137+'9.1.2. sz. mell.'!C137</f>
        <v>0</v>
      </c>
      <c r="F137" s="781">
        <f>'9.1.1. sz. mell. '!C137+'9.1.2. sz. mell.'!C137</f>
        <v>0</v>
      </c>
      <c r="G137" s="782">
        <f t="shared" ref="G137:G155" si="4">C137-F137</f>
        <v>0</v>
      </c>
      <c r="H137" s="777">
        <f t="shared" ref="H137:H158" si="5">C137-D137</f>
        <v>0</v>
      </c>
    </row>
    <row r="138" spans="1:11" ht="12" customHeight="1" x14ac:dyDescent="0.2">
      <c r="A138" s="333" t="s">
        <v>183</v>
      </c>
      <c r="B138" s="8" t="s">
        <v>583</v>
      </c>
      <c r="C138" s="217"/>
      <c r="D138" s="777">
        <f>'9.1.1. sz. mell. '!C138+'9.1.2. sz. mell.'!C138</f>
        <v>0</v>
      </c>
      <c r="E138" s="777">
        <f>'9.1.1. sz. mell. '!C138+'9.1.2. sz. mell.'!C138</f>
        <v>0</v>
      </c>
      <c r="F138" s="781">
        <f>'9.1.1. sz. mell. '!C138+'9.1.2. sz. mell.'!C138</f>
        <v>0</v>
      </c>
      <c r="G138" s="782">
        <f t="shared" si="4"/>
        <v>0</v>
      </c>
      <c r="H138" s="777">
        <f t="shared" si="5"/>
        <v>0</v>
      </c>
    </row>
    <row r="139" spans="1:11" s="78" customFormat="1" ht="12" customHeight="1" thickBot="1" x14ac:dyDescent="0.25">
      <c r="A139" s="342" t="s">
        <v>184</v>
      </c>
      <c r="B139" s="6" t="s">
        <v>584</v>
      </c>
      <c r="C139" s="217"/>
      <c r="D139" s="777">
        <f>'9.1.1. sz. mell. '!C139+'9.1.2. sz. mell.'!C139</f>
        <v>0</v>
      </c>
      <c r="E139" s="777">
        <f>'9.1.1. sz. mell. '!C139+'9.1.2. sz. mell.'!C139</f>
        <v>0</v>
      </c>
      <c r="F139" s="783">
        <f>'9.1.1. sz. mell. '!C139+'9.1.2. sz. mell.'!C139</f>
        <v>0</v>
      </c>
      <c r="G139" s="784">
        <f t="shared" si="4"/>
        <v>0</v>
      </c>
      <c r="H139" s="777">
        <f t="shared" si="5"/>
        <v>0</v>
      </c>
    </row>
    <row r="140" spans="1:11" ht="12" customHeight="1" thickBot="1" x14ac:dyDescent="0.25">
      <c r="A140" s="31" t="s">
        <v>36</v>
      </c>
      <c r="B140" s="98" t="s">
        <v>622</v>
      </c>
      <c r="C140" s="238">
        <f>+C141+C142+C144+C145+C143</f>
        <v>38167591</v>
      </c>
      <c r="D140" s="777">
        <f>'9.1.1. sz. mell. '!C140+'9.1.2. sz. mell.'!C140</f>
        <v>38167591</v>
      </c>
      <c r="E140" s="777">
        <f>'9.1.1. sz. mell. '!C140+'9.1.2. sz. mell.'!C140</f>
        <v>38167591</v>
      </c>
      <c r="F140" s="778">
        <f>'9.1.1. sz. mell. '!C140+'9.1.2. sz. mell.'!C140</f>
        <v>38167591</v>
      </c>
      <c r="G140" s="778">
        <f t="shared" si="4"/>
        <v>0</v>
      </c>
      <c r="H140" s="777">
        <f t="shared" si="5"/>
        <v>0</v>
      </c>
      <c r="K140" s="200"/>
    </row>
    <row r="141" spans="1:11" x14ac:dyDescent="0.2">
      <c r="A141" s="333" t="s">
        <v>110</v>
      </c>
      <c r="B141" s="8" t="s">
        <v>386</v>
      </c>
      <c r="C141" s="217"/>
      <c r="D141" s="777">
        <f>'9.1.1. sz. mell. '!C141+'9.1.2. sz. mell.'!C141</f>
        <v>0</v>
      </c>
      <c r="E141" s="777">
        <f>'9.1.1. sz. mell. '!C141+'9.1.2. sz. mell.'!C141</f>
        <v>0</v>
      </c>
      <c r="F141" s="779">
        <f>'9.1.1. sz. mell. '!C141+'9.1.2. sz. mell.'!C141</f>
        <v>0</v>
      </c>
      <c r="G141" s="780">
        <f t="shared" si="4"/>
        <v>0</v>
      </c>
      <c r="H141" s="777">
        <f t="shared" si="5"/>
        <v>0</v>
      </c>
    </row>
    <row r="142" spans="1:11" ht="12" customHeight="1" x14ac:dyDescent="0.2">
      <c r="A142" s="333" t="s">
        <v>111</v>
      </c>
      <c r="B142" s="8" t="s">
        <v>387</v>
      </c>
      <c r="C142" s="217">
        <v>38167591</v>
      </c>
      <c r="D142" s="777">
        <f>'9.1.1. sz. mell. '!C142+'9.1.2. sz. mell.'!C142</f>
        <v>38167591</v>
      </c>
      <c r="E142" s="777">
        <f>'9.1.1. sz. mell. '!C142+'9.1.2. sz. mell.'!C142</f>
        <v>38167591</v>
      </c>
      <c r="F142" s="781">
        <f>'9.1.1. sz. mell. '!C142+'9.1.2. sz. mell.'!C142</f>
        <v>38167591</v>
      </c>
      <c r="G142" s="782">
        <f t="shared" si="4"/>
        <v>0</v>
      </c>
      <c r="H142" s="777">
        <f t="shared" si="5"/>
        <v>0</v>
      </c>
    </row>
    <row r="143" spans="1:11" ht="12" customHeight="1" x14ac:dyDescent="0.2">
      <c r="A143" s="333" t="s">
        <v>300</v>
      </c>
      <c r="B143" s="8" t="s">
        <v>623</v>
      </c>
      <c r="C143" s="217"/>
      <c r="D143" s="777">
        <f>'9.1.1. sz. mell. '!C143+'9.1.2. sz. mell.'!C143</f>
        <v>0</v>
      </c>
      <c r="E143" s="777">
        <f>'9.1.1. sz. mell. '!C143+'9.1.2. sz. mell.'!C143</f>
        <v>0</v>
      </c>
      <c r="F143" s="781">
        <f>'9.1.1. sz. mell. '!C143+'9.1.2. sz. mell.'!C143</f>
        <v>0</v>
      </c>
      <c r="G143" s="782">
        <f t="shared" si="4"/>
        <v>0</v>
      </c>
      <c r="H143" s="777">
        <f t="shared" si="5"/>
        <v>0</v>
      </c>
    </row>
    <row r="144" spans="1:11" s="78" customFormat="1" ht="12" customHeight="1" x14ac:dyDescent="0.2">
      <c r="A144" s="333" t="s">
        <v>301</v>
      </c>
      <c r="B144" s="8" t="s">
        <v>586</v>
      </c>
      <c r="C144" s="217"/>
      <c r="D144" s="777">
        <f>'9.1.1. sz. mell. '!C144+'9.1.2. sz. mell.'!C144</f>
        <v>0</v>
      </c>
      <c r="E144" s="777">
        <f>'9.1.1. sz. mell. '!C144+'9.1.2. sz. mell.'!C144</f>
        <v>0</v>
      </c>
      <c r="F144" s="781">
        <f>'9.1.1. sz. mell. '!C144+'9.1.2. sz. mell.'!C144</f>
        <v>0</v>
      </c>
      <c r="G144" s="782">
        <f t="shared" si="4"/>
        <v>0</v>
      </c>
      <c r="H144" s="777">
        <f t="shared" si="5"/>
        <v>0</v>
      </c>
    </row>
    <row r="145" spans="1:8" s="78" customFormat="1" ht="12" customHeight="1" thickBot="1" x14ac:dyDescent="0.25">
      <c r="A145" s="342" t="s">
        <v>302</v>
      </c>
      <c r="B145" s="6" t="s">
        <v>405</v>
      </c>
      <c r="C145" s="217"/>
      <c r="D145" s="777">
        <f>'9.1.1. sz. mell. '!C145+'9.1.2. sz. mell.'!C145</f>
        <v>0</v>
      </c>
      <c r="E145" s="777">
        <f>'9.1.1. sz. mell. '!C145+'9.1.2. sz. mell.'!C145</f>
        <v>0</v>
      </c>
      <c r="F145" s="783">
        <f>'9.1.1. sz. mell. '!C145+'9.1.2. sz. mell.'!C145</f>
        <v>0</v>
      </c>
      <c r="G145" s="784">
        <f t="shared" si="4"/>
        <v>0</v>
      </c>
      <c r="H145" s="777">
        <f t="shared" si="5"/>
        <v>0</v>
      </c>
    </row>
    <row r="146" spans="1:8" s="78" customFormat="1" ht="12" customHeight="1" thickBot="1" x14ac:dyDescent="0.25">
      <c r="A146" s="31" t="s">
        <v>37</v>
      </c>
      <c r="B146" s="98" t="s">
        <v>587</v>
      </c>
      <c r="C146" s="241">
        <f>+C147+C148+C149+C150+C151</f>
        <v>0</v>
      </c>
      <c r="D146" s="777">
        <f>'9.1.1. sz. mell. '!C146+'9.1.2. sz. mell.'!C146</f>
        <v>0</v>
      </c>
      <c r="E146" s="777">
        <f>'9.1.1. sz. mell. '!C146+'9.1.2. sz. mell.'!C146</f>
        <v>0</v>
      </c>
      <c r="F146" s="778">
        <f>'9.1.1. sz. mell. '!C146+'9.1.2. sz. mell.'!C146</f>
        <v>0</v>
      </c>
      <c r="G146" s="778">
        <f t="shared" si="4"/>
        <v>0</v>
      </c>
      <c r="H146" s="777">
        <f t="shared" si="5"/>
        <v>0</v>
      </c>
    </row>
    <row r="147" spans="1:8" s="78" customFormat="1" ht="12" customHeight="1" x14ac:dyDescent="0.2">
      <c r="A147" s="333" t="s">
        <v>112</v>
      </c>
      <c r="B147" s="8" t="s">
        <v>588</v>
      </c>
      <c r="C147" s="217"/>
      <c r="D147" s="777">
        <f>'9.1.1. sz. mell. '!C147+'9.1.2. sz. mell.'!C147</f>
        <v>0</v>
      </c>
      <c r="E147" s="777">
        <f>'9.1.1. sz. mell. '!C147+'9.1.2. sz. mell.'!C147</f>
        <v>0</v>
      </c>
      <c r="F147" s="779">
        <f>'9.1.1. sz. mell. '!C147+'9.1.2. sz. mell.'!C147</f>
        <v>0</v>
      </c>
      <c r="G147" s="780">
        <f t="shared" si="4"/>
        <v>0</v>
      </c>
      <c r="H147" s="777">
        <f t="shared" si="5"/>
        <v>0</v>
      </c>
    </row>
    <row r="148" spans="1:8" s="78" customFormat="1" ht="12" customHeight="1" x14ac:dyDescent="0.2">
      <c r="A148" s="333" t="s">
        <v>113</v>
      </c>
      <c r="B148" s="8" t="s">
        <v>589</v>
      </c>
      <c r="C148" s="217"/>
      <c r="D148" s="777">
        <f>'9.1.1. sz. mell. '!C148+'9.1.2. sz. mell.'!C148</f>
        <v>0</v>
      </c>
      <c r="E148" s="777">
        <f>'9.1.1. sz. mell. '!C148+'9.1.2. sz. mell.'!C148</f>
        <v>0</v>
      </c>
      <c r="F148" s="781">
        <f>'9.1.1. sz. mell. '!C148+'9.1.2. sz. mell.'!C148</f>
        <v>0</v>
      </c>
      <c r="G148" s="782">
        <f t="shared" si="4"/>
        <v>0</v>
      </c>
      <c r="H148" s="777">
        <f t="shared" si="5"/>
        <v>0</v>
      </c>
    </row>
    <row r="149" spans="1:8" s="78" customFormat="1" ht="12" customHeight="1" x14ac:dyDescent="0.2">
      <c r="A149" s="333" t="s">
        <v>312</v>
      </c>
      <c r="B149" s="8" t="s">
        <v>590</v>
      </c>
      <c r="C149" s="217"/>
      <c r="D149" s="777">
        <f>'9.1.1. sz. mell. '!C149+'9.1.2. sz. mell.'!C149</f>
        <v>0</v>
      </c>
      <c r="E149" s="777">
        <f>'9.1.1. sz. mell. '!C149+'9.1.2. sz. mell.'!C149</f>
        <v>0</v>
      </c>
      <c r="F149" s="781">
        <f>'9.1.1. sz. mell. '!C149+'9.1.2. sz. mell.'!C149</f>
        <v>0</v>
      </c>
      <c r="G149" s="782">
        <f t="shared" si="4"/>
        <v>0</v>
      </c>
      <c r="H149" s="777">
        <f t="shared" si="5"/>
        <v>0</v>
      </c>
    </row>
    <row r="150" spans="1:8" s="78" customFormat="1" ht="12" customHeight="1" x14ac:dyDescent="0.2">
      <c r="A150" s="333" t="s">
        <v>313</v>
      </c>
      <c r="B150" s="8" t="s">
        <v>624</v>
      </c>
      <c r="C150" s="217"/>
      <c r="D150" s="777">
        <f>'9.1.1. sz. mell. '!C150+'9.1.2. sz. mell.'!C150</f>
        <v>0</v>
      </c>
      <c r="E150" s="777">
        <f>'9.1.1. sz. mell. '!C150+'9.1.2. sz. mell.'!C150</f>
        <v>0</v>
      </c>
      <c r="F150" s="781">
        <f>'9.1.1. sz. mell. '!C150+'9.1.2. sz. mell.'!C150</f>
        <v>0</v>
      </c>
      <c r="G150" s="782">
        <f t="shared" si="4"/>
        <v>0</v>
      </c>
      <c r="H150" s="777">
        <f t="shared" si="5"/>
        <v>0</v>
      </c>
    </row>
    <row r="151" spans="1:8" ht="12.75" customHeight="1" thickBot="1" x14ac:dyDescent="0.25">
      <c r="A151" s="342" t="s">
        <v>592</v>
      </c>
      <c r="B151" s="6" t="s">
        <v>593</v>
      </c>
      <c r="C151" s="218"/>
      <c r="D151" s="777">
        <f>'9.1.1. sz. mell. '!C151+'9.1.2. sz. mell.'!C151</f>
        <v>0</v>
      </c>
      <c r="E151" s="777">
        <f>'9.1.1. sz. mell. '!C151+'9.1.2. sz. mell.'!C151</f>
        <v>0</v>
      </c>
      <c r="F151" s="783">
        <f>'9.1.1. sz. mell. '!C151+'9.1.2. sz. mell.'!C151</f>
        <v>0</v>
      </c>
      <c r="G151" s="784">
        <f t="shared" si="4"/>
        <v>0</v>
      </c>
      <c r="H151" s="777">
        <f t="shared" si="5"/>
        <v>0</v>
      </c>
    </row>
    <row r="152" spans="1:8" ht="12.75" customHeight="1" thickBot="1" x14ac:dyDescent="0.25">
      <c r="A152" s="404" t="s">
        <v>38</v>
      </c>
      <c r="B152" s="98" t="s">
        <v>594</v>
      </c>
      <c r="C152" s="241"/>
      <c r="D152" s="777">
        <f>'9.1.1. sz. mell. '!C152+'9.1.2. sz. mell.'!C152</f>
        <v>0</v>
      </c>
      <c r="E152" s="777">
        <f>'9.1.1. sz. mell. '!C152+'9.1.2. sz. mell.'!C152</f>
        <v>0</v>
      </c>
      <c r="F152" s="778">
        <f>'9.1.1. sz. mell. '!C152+'9.1.2. sz. mell.'!C152</f>
        <v>0</v>
      </c>
      <c r="G152" s="778">
        <f t="shared" si="4"/>
        <v>0</v>
      </c>
      <c r="H152" s="777">
        <f t="shared" si="5"/>
        <v>0</v>
      </c>
    </row>
    <row r="153" spans="1:8" ht="12.75" customHeight="1" thickBot="1" x14ac:dyDescent="0.25">
      <c r="A153" s="404" t="s">
        <v>39</v>
      </c>
      <c r="B153" s="98" t="s">
        <v>595</v>
      </c>
      <c r="C153" s="241"/>
      <c r="D153" s="777">
        <f>'9.1.1. sz. mell. '!C153+'9.1.2. sz. mell.'!C153</f>
        <v>0</v>
      </c>
      <c r="E153" s="777">
        <f>'9.1.1. sz. mell. '!C153+'9.1.2. sz. mell.'!C153</f>
        <v>0</v>
      </c>
      <c r="F153" s="785">
        <f>'9.1.1. sz. mell. '!C153+'9.1.2. sz. mell.'!C153</f>
        <v>0</v>
      </c>
      <c r="G153" s="785">
        <f t="shared" si="4"/>
        <v>0</v>
      </c>
      <c r="H153" s="777">
        <f t="shared" si="5"/>
        <v>0</v>
      </c>
    </row>
    <row r="154" spans="1:8" ht="12" customHeight="1" thickBot="1" x14ac:dyDescent="0.25">
      <c r="A154" s="31" t="s">
        <v>40</v>
      </c>
      <c r="B154" s="98" t="s">
        <v>596</v>
      </c>
      <c r="C154" s="329">
        <f>+C129+C133+C140+C146+C152+C153</f>
        <v>146654295</v>
      </c>
      <c r="D154" s="777">
        <f>'9.1.1. sz. mell. '!C154+'9.1.2. sz. mell.'!C154</f>
        <v>146654295</v>
      </c>
      <c r="E154" s="777">
        <f>'9.1.1. sz. mell. '!C154+'9.1.2. sz. mell.'!C154</f>
        <v>146654295</v>
      </c>
      <c r="F154" s="778">
        <f>'9.1.1. sz. mell. '!C154+'9.1.2. sz. mell.'!C154</f>
        <v>146654295</v>
      </c>
      <c r="G154" s="778">
        <f t="shared" si="4"/>
        <v>0</v>
      </c>
      <c r="H154" s="777">
        <f t="shared" si="5"/>
        <v>0</v>
      </c>
    </row>
    <row r="155" spans="1:8" ht="15" customHeight="1" thickBot="1" x14ac:dyDescent="0.25">
      <c r="A155" s="344" t="s">
        <v>41</v>
      </c>
      <c r="B155" s="304" t="s">
        <v>597</v>
      </c>
      <c r="C155" s="329">
        <f>+C128+C154</f>
        <v>1358271474</v>
      </c>
      <c r="D155" s="777">
        <f>'9.1.1. sz. mell. '!C155+'9.1.2. sz. mell.'!C155</f>
        <v>1358271474</v>
      </c>
      <c r="E155" s="777">
        <f>'9.1.1. sz. mell. '!C155+'9.1.2. sz. mell.'!C155</f>
        <v>1358271474</v>
      </c>
      <c r="F155" s="778">
        <f>'9.1.1. sz. mell. '!C155+'9.1.2. sz. mell.'!C155</f>
        <v>1358271474</v>
      </c>
      <c r="G155" s="778">
        <f t="shared" si="4"/>
        <v>0</v>
      </c>
      <c r="H155" s="777">
        <f t="shared" si="5"/>
        <v>0</v>
      </c>
    </row>
    <row r="156" spans="1:8" ht="13.5" thickBot="1" x14ac:dyDescent="0.25">
      <c r="D156" s="777">
        <f>'9.1.1. sz. mell. '!C156+'9.1.2. sz. mell.'!C156</f>
        <v>0</v>
      </c>
      <c r="E156" s="777">
        <f>'9.1.1. sz. mell. '!C156+'9.1.2. sz. mell.'!C156</f>
        <v>0</v>
      </c>
      <c r="H156" s="777">
        <f t="shared" si="5"/>
        <v>0</v>
      </c>
    </row>
    <row r="157" spans="1:8" ht="15" customHeight="1" thickBot="1" x14ac:dyDescent="0.25">
      <c r="A157" s="197" t="s">
        <v>625</v>
      </c>
      <c r="B157" s="198"/>
      <c r="C157" s="96">
        <v>6</v>
      </c>
      <c r="D157" s="777">
        <f>'9.1.1. sz. mell. '!C157+'9.1.2. sz. mell.'!C157</f>
        <v>6</v>
      </c>
      <c r="E157" s="777">
        <f>'9.1.1. sz. mell. '!C157+'9.1.2. sz. mell.'!C157</f>
        <v>6</v>
      </c>
      <c r="F157" s="773">
        <f t="shared" ref="F157:F158" si="6">C157-E157</f>
        <v>0</v>
      </c>
      <c r="H157" s="777">
        <f t="shared" si="5"/>
        <v>0</v>
      </c>
    </row>
    <row r="158" spans="1:8" ht="14.25" customHeight="1" thickBot="1" x14ac:dyDescent="0.25">
      <c r="A158" s="197" t="s">
        <v>212</v>
      </c>
      <c r="B158" s="198"/>
      <c r="C158" s="96"/>
      <c r="D158" s="777">
        <f>'9.1.1. sz. mell. '!C158+'9.1.2. sz. mell.'!C158</f>
        <v>0</v>
      </c>
      <c r="E158" s="777">
        <f>'9.1.1. sz. mell. '!C158+'9.1.2. sz. mell.'!C158</f>
        <v>0</v>
      </c>
      <c r="F158" s="773">
        <f t="shared" si="6"/>
        <v>0</v>
      </c>
      <c r="H158" s="777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&amp;R9.1. melléklet a ../.....(.....) önkormányzati rendelethez</oddHeader>
  </headerFooter>
  <rowBreaks count="1" manualBreakCount="1">
    <brk id="9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C158" sqref="C158"/>
    </sheetView>
  </sheetViews>
  <sheetFormatPr defaultRowHeight="12.75" x14ac:dyDescent="0.2"/>
  <cols>
    <col min="1" max="1" width="19.5" style="786" customWidth="1"/>
    <col min="2" max="2" width="72" style="787" customWidth="1"/>
    <col min="3" max="3" width="25" style="788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74"/>
      <c r="B1" s="176"/>
      <c r="C1" s="199"/>
    </row>
    <row r="2" spans="1:3" s="74" customFormat="1" ht="21" customHeight="1" x14ac:dyDescent="0.2">
      <c r="A2" s="309" t="s">
        <v>76</v>
      </c>
      <c r="B2" s="282" t="s">
        <v>232</v>
      </c>
      <c r="C2" s="284" t="s">
        <v>67</v>
      </c>
    </row>
    <row r="3" spans="1:3" s="74" customFormat="1" ht="16.5" thickBot="1" x14ac:dyDescent="0.25">
      <c r="A3" s="177" t="s">
        <v>209</v>
      </c>
      <c r="B3" s="283" t="s">
        <v>443</v>
      </c>
      <c r="C3" s="403" t="s">
        <v>74</v>
      </c>
    </row>
    <row r="4" spans="1:3" s="75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285" t="s">
        <v>69</v>
      </c>
    </row>
    <row r="6" spans="1:3" s="52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52" customFormat="1" ht="15.95" customHeight="1" thickBot="1" x14ac:dyDescent="0.25">
      <c r="A7" s="182"/>
      <c r="B7" s="183" t="s">
        <v>70</v>
      </c>
      <c r="C7" s="286"/>
    </row>
    <row r="8" spans="1:3" s="52" customFormat="1" ht="12" customHeight="1" thickBot="1" x14ac:dyDescent="0.25">
      <c r="A8" s="31" t="s">
        <v>31</v>
      </c>
      <c r="B8" s="20" t="s">
        <v>260</v>
      </c>
      <c r="C8" s="233">
        <f>+C9+C10+C11+C12+C13+C14</f>
        <v>1121752655</v>
      </c>
    </row>
    <row r="9" spans="1:3" s="76" customFormat="1" ht="12" customHeight="1" x14ac:dyDescent="0.2">
      <c r="A9" s="333" t="s">
        <v>114</v>
      </c>
      <c r="B9" s="319" t="s">
        <v>261</v>
      </c>
      <c r="C9" s="451">
        <v>227855923</v>
      </c>
    </row>
    <row r="10" spans="1:3" s="77" customFormat="1" ht="12" customHeight="1" x14ac:dyDescent="0.2">
      <c r="A10" s="334" t="s">
        <v>115</v>
      </c>
      <c r="B10" s="320" t="s">
        <v>262</v>
      </c>
      <c r="C10" s="411">
        <v>224734134</v>
      </c>
    </row>
    <row r="11" spans="1:3" s="77" customFormat="1" ht="12" customHeight="1" x14ac:dyDescent="0.2">
      <c r="A11" s="334" t="s">
        <v>116</v>
      </c>
      <c r="B11" s="320" t="s">
        <v>263</v>
      </c>
      <c r="C11" s="411">
        <f>126991000+65060600+192410145+62092600</f>
        <v>446554345</v>
      </c>
    </row>
    <row r="12" spans="1:3" s="77" customFormat="1" ht="12" customHeight="1" x14ac:dyDescent="0.2">
      <c r="A12" s="334" t="s">
        <v>117</v>
      </c>
      <c r="B12" s="320" t="s">
        <v>264</v>
      </c>
      <c r="C12" s="411">
        <v>16122040</v>
      </c>
    </row>
    <row r="13" spans="1:3" s="77" customFormat="1" ht="12" customHeight="1" x14ac:dyDescent="0.2">
      <c r="A13" s="334" t="s">
        <v>158</v>
      </c>
      <c r="B13" s="320" t="s">
        <v>610</v>
      </c>
      <c r="C13" s="411">
        <f>16254886+190231327</f>
        <v>206486213</v>
      </c>
    </row>
    <row r="14" spans="1:3" s="76" customFormat="1" ht="12" customHeight="1" thickBot="1" x14ac:dyDescent="0.25">
      <c r="A14" s="335" t="s">
        <v>118</v>
      </c>
      <c r="B14" s="321" t="s">
        <v>550</v>
      </c>
      <c r="C14" s="237"/>
    </row>
    <row r="15" spans="1:3" s="76" customFormat="1" ht="12" customHeight="1" thickBot="1" x14ac:dyDescent="0.25">
      <c r="A15" s="31" t="s">
        <v>32</v>
      </c>
      <c r="B15" s="228" t="s">
        <v>265</v>
      </c>
      <c r="C15" s="233">
        <f>+C16+C17+C18+C19+C20</f>
        <v>28570000</v>
      </c>
    </row>
    <row r="16" spans="1:3" s="76" customFormat="1" ht="12" customHeight="1" x14ac:dyDescent="0.2">
      <c r="A16" s="333" t="s">
        <v>120</v>
      </c>
      <c r="B16" s="319" t="s">
        <v>266</v>
      </c>
      <c r="C16" s="235"/>
    </row>
    <row r="17" spans="1:3" s="76" customFormat="1" ht="12" customHeight="1" x14ac:dyDescent="0.2">
      <c r="A17" s="334" t="s">
        <v>121</v>
      </c>
      <c r="B17" s="320" t="s">
        <v>267</v>
      </c>
      <c r="C17" s="234"/>
    </row>
    <row r="18" spans="1:3" s="76" customFormat="1" ht="12" customHeight="1" x14ac:dyDescent="0.2">
      <c r="A18" s="334" t="s">
        <v>122</v>
      </c>
      <c r="B18" s="320" t="s">
        <v>436</v>
      </c>
      <c r="C18" s="237"/>
    </row>
    <row r="19" spans="1:3" s="76" customFormat="1" ht="12" customHeight="1" x14ac:dyDescent="0.2">
      <c r="A19" s="334" t="s">
        <v>123</v>
      </c>
      <c r="B19" s="320" t="s">
        <v>437</v>
      </c>
      <c r="C19" s="237"/>
    </row>
    <row r="20" spans="1:3" s="76" customFormat="1" ht="12" customHeight="1" x14ac:dyDescent="0.2">
      <c r="A20" s="334" t="s">
        <v>124</v>
      </c>
      <c r="B20" s="320" t="s">
        <v>268</v>
      </c>
      <c r="C20" s="411">
        <f>4320000+24250000</f>
        <v>28570000</v>
      </c>
    </row>
    <row r="21" spans="1:3" s="77" customFormat="1" ht="12" customHeight="1" thickBot="1" x14ac:dyDescent="0.25">
      <c r="A21" s="335" t="s">
        <v>133</v>
      </c>
      <c r="B21" s="321" t="s">
        <v>269</v>
      </c>
      <c r="C21" s="308"/>
    </row>
    <row r="22" spans="1:3" s="77" customFormat="1" ht="12" customHeight="1" thickBot="1" x14ac:dyDescent="0.25">
      <c r="A22" s="31" t="s">
        <v>33</v>
      </c>
      <c r="B22" s="20" t="s">
        <v>270</v>
      </c>
      <c r="C22" s="233">
        <f>+C23+C24+C25+C26+C27</f>
        <v>13442271</v>
      </c>
    </row>
    <row r="23" spans="1:3" s="77" customFormat="1" ht="12" customHeight="1" x14ac:dyDescent="0.2">
      <c r="A23" s="333" t="s">
        <v>103</v>
      </c>
      <c r="B23" s="319" t="s">
        <v>271</v>
      </c>
      <c r="C23" s="357"/>
    </row>
    <row r="24" spans="1:3" s="76" customFormat="1" ht="12" customHeight="1" x14ac:dyDescent="0.2">
      <c r="A24" s="334" t="s">
        <v>104</v>
      </c>
      <c r="B24" s="320" t="s">
        <v>272</v>
      </c>
      <c r="C24" s="237"/>
    </row>
    <row r="25" spans="1:3" s="77" customFormat="1" ht="12" customHeight="1" x14ac:dyDescent="0.2">
      <c r="A25" s="334" t="s">
        <v>105</v>
      </c>
      <c r="B25" s="320" t="s">
        <v>438</v>
      </c>
      <c r="C25" s="237"/>
    </row>
    <row r="26" spans="1:3" s="77" customFormat="1" ht="12" customHeight="1" x14ac:dyDescent="0.2">
      <c r="A26" s="334" t="s">
        <v>106</v>
      </c>
      <c r="B26" s="320" t="s">
        <v>439</v>
      </c>
      <c r="C26" s="237"/>
    </row>
    <row r="27" spans="1:3" s="77" customFormat="1" ht="12" customHeight="1" x14ac:dyDescent="0.2">
      <c r="A27" s="334" t="s">
        <v>178</v>
      </c>
      <c r="B27" s="320" t="s">
        <v>273</v>
      </c>
      <c r="C27" s="411">
        <f>5866130+3779393+3796748</f>
        <v>13442271</v>
      </c>
    </row>
    <row r="28" spans="1:3" s="77" customFormat="1" ht="12" customHeight="1" thickBot="1" x14ac:dyDescent="0.25">
      <c r="A28" s="335" t="s">
        <v>179</v>
      </c>
      <c r="B28" s="321" t="s">
        <v>274</v>
      </c>
      <c r="C28" s="308">
        <v>13442271</v>
      </c>
    </row>
    <row r="29" spans="1:3" s="77" customFormat="1" ht="12" customHeight="1" thickBot="1" x14ac:dyDescent="0.25">
      <c r="A29" s="31" t="s">
        <v>180</v>
      </c>
      <c r="B29" s="20" t="s">
        <v>275</v>
      </c>
      <c r="C29" s="238">
        <f>+C30+C34+C35+C36</f>
        <v>352658000</v>
      </c>
    </row>
    <row r="30" spans="1:3" s="77" customFormat="1" ht="12" customHeight="1" x14ac:dyDescent="0.2">
      <c r="A30" s="333" t="s">
        <v>276</v>
      </c>
      <c r="B30" s="319" t="s">
        <v>611</v>
      </c>
      <c r="C30" s="314">
        <f>SUM(C31:C33)</f>
        <v>308654000</v>
      </c>
    </row>
    <row r="31" spans="1:3" s="77" customFormat="1" ht="12" customHeight="1" x14ac:dyDescent="0.2">
      <c r="A31" s="334" t="s">
        <v>277</v>
      </c>
      <c r="B31" s="320" t="s">
        <v>282</v>
      </c>
      <c r="C31" s="217">
        <v>77500000</v>
      </c>
    </row>
    <row r="32" spans="1:3" s="77" customFormat="1" ht="12" customHeight="1" x14ac:dyDescent="0.2">
      <c r="A32" s="334" t="s">
        <v>278</v>
      </c>
      <c r="B32" s="320" t="s">
        <v>658</v>
      </c>
      <c r="C32" s="217">
        <v>231154000</v>
      </c>
    </row>
    <row r="33" spans="1:3" s="77" customFormat="1" ht="12" customHeight="1" x14ac:dyDescent="0.2">
      <c r="A33" s="334" t="s">
        <v>552</v>
      </c>
      <c r="B33" s="320" t="s">
        <v>655</v>
      </c>
      <c r="C33" s="411"/>
    </row>
    <row r="34" spans="1:3" s="77" customFormat="1" ht="12" customHeight="1" x14ac:dyDescent="0.2">
      <c r="A34" s="334" t="s">
        <v>279</v>
      </c>
      <c r="B34" s="320" t="s">
        <v>284</v>
      </c>
      <c r="C34" s="217">
        <v>28000000</v>
      </c>
    </row>
    <row r="35" spans="1:3" s="77" customFormat="1" ht="12" customHeight="1" x14ac:dyDescent="0.2">
      <c r="A35" s="334" t="s">
        <v>280</v>
      </c>
      <c r="B35" s="320" t="s">
        <v>285</v>
      </c>
      <c r="C35" s="217">
        <v>4504000</v>
      </c>
    </row>
    <row r="36" spans="1:3" s="77" customFormat="1" ht="12" customHeight="1" thickBot="1" x14ac:dyDescent="0.25">
      <c r="A36" s="335" t="s">
        <v>281</v>
      </c>
      <c r="B36" s="321" t="s">
        <v>286</v>
      </c>
      <c r="C36" s="415">
        <v>11500000</v>
      </c>
    </row>
    <row r="37" spans="1:3" s="77" customFormat="1" ht="12" customHeight="1" thickBot="1" x14ac:dyDescent="0.25">
      <c r="A37" s="31" t="s">
        <v>35</v>
      </c>
      <c r="B37" s="20" t="s">
        <v>554</v>
      </c>
      <c r="C37" s="233">
        <f>SUM(C38:C48)</f>
        <v>24782669</v>
      </c>
    </row>
    <row r="38" spans="1:3" s="77" customFormat="1" ht="12" customHeight="1" x14ac:dyDescent="0.2">
      <c r="A38" s="333" t="s">
        <v>107</v>
      </c>
      <c r="B38" s="319" t="s">
        <v>289</v>
      </c>
      <c r="C38" s="451"/>
    </row>
    <row r="39" spans="1:3" s="77" customFormat="1" ht="12" customHeight="1" x14ac:dyDescent="0.2">
      <c r="A39" s="334" t="s">
        <v>108</v>
      </c>
      <c r="B39" s="320" t="s">
        <v>290</v>
      </c>
      <c r="C39" s="411">
        <f>13910169+100000</f>
        <v>14010169</v>
      </c>
    </row>
    <row r="40" spans="1:3" s="77" customFormat="1" ht="12" customHeight="1" x14ac:dyDescent="0.2">
      <c r="A40" s="334" t="s">
        <v>109</v>
      </c>
      <c r="B40" s="320" t="s">
        <v>291</v>
      </c>
      <c r="C40" s="411">
        <f>500000+300000+50000+1400000+947000+300000</f>
        <v>3497000</v>
      </c>
    </row>
    <row r="41" spans="1:3" s="77" customFormat="1" ht="12" customHeight="1" x14ac:dyDescent="0.2">
      <c r="A41" s="334" t="s">
        <v>182</v>
      </c>
      <c r="B41" s="320" t="s">
        <v>292</v>
      </c>
      <c r="C41" s="411">
        <v>430000</v>
      </c>
    </row>
    <row r="42" spans="1:3" s="77" customFormat="1" ht="12" customHeight="1" x14ac:dyDescent="0.2">
      <c r="A42" s="334" t="s">
        <v>183</v>
      </c>
      <c r="B42" s="320" t="s">
        <v>293</v>
      </c>
      <c r="C42" s="411"/>
    </row>
    <row r="43" spans="1:3" s="77" customFormat="1" ht="12" customHeight="1" x14ac:dyDescent="0.2">
      <c r="A43" s="334" t="s">
        <v>184</v>
      </c>
      <c r="B43" s="320" t="s">
        <v>294</v>
      </c>
      <c r="C43" s="411">
        <f>5162000+81000+13500+378000+81000</f>
        <v>5715500</v>
      </c>
    </row>
    <row r="44" spans="1:3" s="77" customFormat="1" ht="12" customHeight="1" x14ac:dyDescent="0.2">
      <c r="A44" s="334" t="s">
        <v>185</v>
      </c>
      <c r="B44" s="320" t="s">
        <v>295</v>
      </c>
      <c r="C44" s="411"/>
    </row>
    <row r="45" spans="1:3" s="77" customFormat="1" ht="12" customHeight="1" x14ac:dyDescent="0.2">
      <c r="A45" s="334" t="s">
        <v>186</v>
      </c>
      <c r="B45" s="320" t="s">
        <v>296</v>
      </c>
      <c r="C45" s="411">
        <v>30000</v>
      </c>
    </row>
    <row r="46" spans="1:3" s="77" customFormat="1" ht="12" customHeight="1" x14ac:dyDescent="0.2">
      <c r="A46" s="334" t="s">
        <v>287</v>
      </c>
      <c r="B46" s="320" t="s">
        <v>297</v>
      </c>
      <c r="C46" s="411"/>
    </row>
    <row r="47" spans="1:3" s="77" customFormat="1" ht="12" customHeight="1" x14ac:dyDescent="0.2">
      <c r="A47" s="335" t="s">
        <v>288</v>
      </c>
      <c r="B47" s="321" t="s">
        <v>555</v>
      </c>
      <c r="C47" s="415">
        <v>500000</v>
      </c>
    </row>
    <row r="48" spans="1:3" s="77" customFormat="1" ht="12" customHeight="1" thickBot="1" x14ac:dyDescent="0.25">
      <c r="A48" s="335" t="s">
        <v>556</v>
      </c>
      <c r="B48" s="321" t="s">
        <v>298</v>
      </c>
      <c r="C48" s="415">
        <v>600000</v>
      </c>
    </row>
    <row r="49" spans="1:3" s="77" customFormat="1" ht="12" customHeight="1" thickBot="1" x14ac:dyDescent="0.25">
      <c r="A49" s="31" t="s">
        <v>36</v>
      </c>
      <c r="B49" s="20" t="s">
        <v>299</v>
      </c>
      <c r="C49" s="233">
        <f>SUM(C50:C54)</f>
        <v>30332500</v>
      </c>
    </row>
    <row r="50" spans="1:3" s="77" customFormat="1" ht="12" customHeight="1" x14ac:dyDescent="0.2">
      <c r="A50" s="333" t="s">
        <v>110</v>
      </c>
      <c r="B50" s="319" t="s">
        <v>303</v>
      </c>
      <c r="C50" s="357"/>
    </row>
    <row r="51" spans="1:3" s="77" customFormat="1" ht="12" customHeight="1" x14ac:dyDescent="0.2">
      <c r="A51" s="334" t="s">
        <v>111</v>
      </c>
      <c r="B51" s="320" t="s">
        <v>304</v>
      </c>
      <c r="C51" s="411">
        <v>30332500</v>
      </c>
    </row>
    <row r="52" spans="1:3" s="77" customFormat="1" ht="12" customHeight="1" x14ac:dyDescent="0.2">
      <c r="A52" s="334" t="s">
        <v>300</v>
      </c>
      <c r="B52" s="320" t="s">
        <v>305</v>
      </c>
      <c r="C52" s="237"/>
    </row>
    <row r="53" spans="1:3" s="77" customFormat="1" ht="12" customHeight="1" x14ac:dyDescent="0.2">
      <c r="A53" s="334" t="s">
        <v>301</v>
      </c>
      <c r="B53" s="320" t="s">
        <v>306</v>
      </c>
      <c r="C53" s="237"/>
    </row>
    <row r="54" spans="1:3" s="77" customFormat="1" ht="12" customHeight="1" thickBot="1" x14ac:dyDescent="0.25">
      <c r="A54" s="335" t="s">
        <v>302</v>
      </c>
      <c r="B54" s="321" t="s">
        <v>307</v>
      </c>
      <c r="C54" s="308"/>
    </row>
    <row r="55" spans="1:3" s="77" customFormat="1" ht="12" customHeight="1" thickBot="1" x14ac:dyDescent="0.25">
      <c r="A55" s="31" t="s">
        <v>187</v>
      </c>
      <c r="B55" s="20" t="s">
        <v>308</v>
      </c>
      <c r="C55" s="233">
        <f>SUM(C56:C58)</f>
        <v>2900000</v>
      </c>
    </row>
    <row r="56" spans="1:3" s="77" customFormat="1" ht="12" customHeight="1" x14ac:dyDescent="0.2">
      <c r="A56" s="333" t="s">
        <v>112</v>
      </c>
      <c r="B56" s="319" t="s">
        <v>309</v>
      </c>
      <c r="C56" s="235"/>
    </row>
    <row r="57" spans="1:3" s="77" customFormat="1" ht="12" customHeight="1" x14ac:dyDescent="0.2">
      <c r="A57" s="334" t="s">
        <v>113</v>
      </c>
      <c r="B57" s="320" t="s">
        <v>440</v>
      </c>
      <c r="C57" s="237"/>
    </row>
    <row r="58" spans="1:3" s="77" customFormat="1" ht="12" customHeight="1" x14ac:dyDescent="0.2">
      <c r="A58" s="334" t="s">
        <v>312</v>
      </c>
      <c r="B58" s="320" t="s">
        <v>310</v>
      </c>
      <c r="C58" s="411">
        <v>2900000</v>
      </c>
    </row>
    <row r="59" spans="1:3" s="77" customFormat="1" ht="12" customHeight="1" thickBot="1" x14ac:dyDescent="0.25">
      <c r="A59" s="335" t="s">
        <v>313</v>
      </c>
      <c r="B59" s="321" t="s">
        <v>311</v>
      </c>
      <c r="C59" s="236"/>
    </row>
    <row r="60" spans="1:3" s="77" customFormat="1" ht="12" customHeight="1" thickBot="1" x14ac:dyDescent="0.25">
      <c r="A60" s="31" t="s">
        <v>38</v>
      </c>
      <c r="B60" s="228" t="s">
        <v>314</v>
      </c>
      <c r="C60" s="233">
        <f>SUM(C61:C63)</f>
        <v>0</v>
      </c>
    </row>
    <row r="61" spans="1:3" s="77" customFormat="1" ht="12" customHeight="1" x14ac:dyDescent="0.2">
      <c r="A61" s="333" t="s">
        <v>188</v>
      </c>
      <c r="B61" s="319" t="s">
        <v>316</v>
      </c>
      <c r="C61" s="237"/>
    </row>
    <row r="62" spans="1:3" s="77" customFormat="1" ht="12" customHeight="1" x14ac:dyDescent="0.2">
      <c r="A62" s="334" t="s">
        <v>189</v>
      </c>
      <c r="B62" s="320" t="s">
        <v>441</v>
      </c>
      <c r="C62" s="237"/>
    </row>
    <row r="63" spans="1:3" s="77" customFormat="1" ht="12" customHeight="1" x14ac:dyDescent="0.2">
      <c r="A63" s="334" t="s">
        <v>237</v>
      </c>
      <c r="B63" s="320" t="s">
        <v>317</v>
      </c>
      <c r="C63" s="237"/>
    </row>
    <row r="64" spans="1:3" s="77" customFormat="1" ht="12" customHeight="1" thickBot="1" x14ac:dyDescent="0.25">
      <c r="A64" s="335" t="s">
        <v>315</v>
      </c>
      <c r="B64" s="321" t="s">
        <v>318</v>
      </c>
      <c r="C64" s="237"/>
    </row>
    <row r="65" spans="1:3" s="77" customFormat="1" ht="12" customHeight="1" thickBot="1" x14ac:dyDescent="0.25">
      <c r="A65" s="31" t="s">
        <v>39</v>
      </c>
      <c r="B65" s="20" t="s">
        <v>319</v>
      </c>
      <c r="C65" s="238">
        <f>+C8+C15+C22+C29+C37+C49+C55+C60</f>
        <v>1574438095</v>
      </c>
    </row>
    <row r="66" spans="1:3" s="77" customFormat="1" ht="12" customHeight="1" thickBot="1" x14ac:dyDescent="0.2">
      <c r="A66" s="336" t="s">
        <v>409</v>
      </c>
      <c r="B66" s="228" t="s">
        <v>321</v>
      </c>
      <c r="C66" s="233">
        <f>SUM(C67:C69)</f>
        <v>193478462</v>
      </c>
    </row>
    <row r="67" spans="1:3" s="77" customFormat="1" ht="12" customHeight="1" x14ac:dyDescent="0.2">
      <c r="A67" s="333" t="s">
        <v>352</v>
      </c>
      <c r="B67" s="319" t="s">
        <v>322</v>
      </c>
      <c r="C67" s="411">
        <v>93478462</v>
      </c>
    </row>
    <row r="68" spans="1:3" s="77" customFormat="1" ht="12" customHeight="1" x14ac:dyDescent="0.2">
      <c r="A68" s="334" t="s">
        <v>361</v>
      </c>
      <c r="B68" s="320" t="s">
        <v>323</v>
      </c>
      <c r="C68" s="411">
        <v>100000000</v>
      </c>
    </row>
    <row r="69" spans="1:3" s="77" customFormat="1" ht="12" customHeight="1" thickBot="1" x14ac:dyDescent="0.25">
      <c r="A69" s="335" t="s">
        <v>362</v>
      </c>
      <c r="B69" s="322" t="s">
        <v>324</v>
      </c>
      <c r="C69" s="237"/>
    </row>
    <row r="70" spans="1:3" s="77" customFormat="1" ht="12" customHeight="1" thickBot="1" x14ac:dyDescent="0.2">
      <c r="A70" s="336" t="s">
        <v>325</v>
      </c>
      <c r="B70" s="228" t="s">
        <v>326</v>
      </c>
      <c r="C70" s="233">
        <f>SUM(C71:C74)</f>
        <v>0</v>
      </c>
    </row>
    <row r="71" spans="1:3" s="77" customFormat="1" ht="12" customHeight="1" x14ac:dyDescent="0.2">
      <c r="A71" s="333" t="s">
        <v>159</v>
      </c>
      <c r="B71" s="319" t="s">
        <v>327</v>
      </c>
      <c r="C71" s="237"/>
    </row>
    <row r="72" spans="1:3" s="77" customFormat="1" ht="12" customHeight="1" x14ac:dyDescent="0.2">
      <c r="A72" s="334" t="s">
        <v>160</v>
      </c>
      <c r="B72" s="320" t="s">
        <v>328</v>
      </c>
      <c r="C72" s="237"/>
    </row>
    <row r="73" spans="1:3" s="77" customFormat="1" ht="12" customHeight="1" x14ac:dyDescent="0.2">
      <c r="A73" s="334" t="s">
        <v>353</v>
      </c>
      <c r="B73" s="320" t="s">
        <v>329</v>
      </c>
      <c r="C73" s="237"/>
    </row>
    <row r="74" spans="1:3" s="77" customFormat="1" ht="12" customHeight="1" thickBot="1" x14ac:dyDescent="0.25">
      <c r="A74" s="335" t="s">
        <v>354</v>
      </c>
      <c r="B74" s="321" t="s">
        <v>330</v>
      </c>
      <c r="C74" s="237"/>
    </row>
    <row r="75" spans="1:3" s="77" customFormat="1" ht="12" customHeight="1" thickBot="1" x14ac:dyDescent="0.2">
      <c r="A75" s="336" t="s">
        <v>331</v>
      </c>
      <c r="B75" s="228" t="s">
        <v>332</v>
      </c>
      <c r="C75" s="233">
        <f>SUM(C76:C77)</f>
        <v>569119704</v>
      </c>
    </row>
    <row r="76" spans="1:3" s="77" customFormat="1" ht="12" customHeight="1" x14ac:dyDescent="0.2">
      <c r="A76" s="333" t="s">
        <v>355</v>
      </c>
      <c r="B76" s="319" t="s">
        <v>333</v>
      </c>
      <c r="C76" s="411">
        <v>569119704</v>
      </c>
    </row>
    <row r="77" spans="1:3" s="77" customFormat="1" ht="12" customHeight="1" thickBot="1" x14ac:dyDescent="0.25">
      <c r="A77" s="335" t="s">
        <v>356</v>
      </c>
      <c r="B77" s="321" t="s">
        <v>334</v>
      </c>
      <c r="C77" s="237"/>
    </row>
    <row r="78" spans="1:3" s="76" customFormat="1" ht="12" customHeight="1" thickBot="1" x14ac:dyDescent="0.2">
      <c r="A78" s="336" t="s">
        <v>335</v>
      </c>
      <c r="B78" s="228" t="s">
        <v>336</v>
      </c>
      <c r="C78" s="233">
        <f>SUM(C79:C81)</f>
        <v>0</v>
      </c>
    </row>
    <row r="79" spans="1:3" s="77" customFormat="1" ht="12" customHeight="1" x14ac:dyDescent="0.2">
      <c r="A79" s="333" t="s">
        <v>357</v>
      </c>
      <c r="B79" s="319" t="s">
        <v>337</v>
      </c>
      <c r="C79" s="237"/>
    </row>
    <row r="80" spans="1:3" s="77" customFormat="1" ht="12" customHeight="1" x14ac:dyDescent="0.2">
      <c r="A80" s="334" t="s">
        <v>358</v>
      </c>
      <c r="B80" s="320" t="s">
        <v>338</v>
      </c>
      <c r="C80" s="237"/>
    </row>
    <row r="81" spans="1:6" s="77" customFormat="1" ht="12" customHeight="1" thickBot="1" x14ac:dyDescent="0.25">
      <c r="A81" s="335" t="s">
        <v>359</v>
      </c>
      <c r="B81" s="321" t="s">
        <v>339</v>
      </c>
      <c r="C81" s="237"/>
    </row>
    <row r="82" spans="1:6" s="77" customFormat="1" ht="12" customHeight="1" thickBot="1" x14ac:dyDescent="0.2">
      <c r="A82" s="336" t="s">
        <v>340</v>
      </c>
      <c r="B82" s="228" t="s">
        <v>360</v>
      </c>
      <c r="C82" s="233">
        <f>SUM(C83:C86)</f>
        <v>0</v>
      </c>
    </row>
    <row r="83" spans="1:6" s="77" customFormat="1" ht="12" customHeight="1" x14ac:dyDescent="0.2">
      <c r="A83" s="337" t="s">
        <v>341</v>
      </c>
      <c r="B83" s="319" t="s">
        <v>342</v>
      </c>
      <c r="C83" s="237"/>
    </row>
    <row r="84" spans="1:6" s="77" customFormat="1" ht="12" customHeight="1" x14ac:dyDescent="0.2">
      <c r="A84" s="338" t="s">
        <v>343</v>
      </c>
      <c r="B84" s="320" t="s">
        <v>344</v>
      </c>
      <c r="C84" s="237"/>
    </row>
    <row r="85" spans="1:6" s="77" customFormat="1" ht="12" customHeight="1" x14ac:dyDescent="0.2">
      <c r="A85" s="338" t="s">
        <v>345</v>
      </c>
      <c r="B85" s="320" t="s">
        <v>346</v>
      </c>
      <c r="C85" s="237"/>
    </row>
    <row r="86" spans="1:6" s="76" customFormat="1" ht="12" customHeight="1" thickBot="1" x14ac:dyDescent="0.25">
      <c r="A86" s="339" t="s">
        <v>347</v>
      </c>
      <c r="B86" s="321" t="s">
        <v>348</v>
      </c>
      <c r="C86" s="237"/>
    </row>
    <row r="87" spans="1:6" s="76" customFormat="1" ht="12" customHeight="1" thickBot="1" x14ac:dyDescent="0.2">
      <c r="A87" s="336" t="s">
        <v>349</v>
      </c>
      <c r="B87" s="228" t="s">
        <v>559</v>
      </c>
      <c r="C87" s="358"/>
    </row>
    <row r="88" spans="1:6" s="76" customFormat="1" ht="12" customHeight="1" thickBot="1" x14ac:dyDescent="0.2">
      <c r="A88" s="336" t="s">
        <v>612</v>
      </c>
      <c r="B88" s="228" t="s">
        <v>350</v>
      </c>
      <c r="C88" s="358"/>
    </row>
    <row r="89" spans="1:6" s="76" customFormat="1" ht="12" customHeight="1" thickBot="1" x14ac:dyDescent="0.2">
      <c r="A89" s="336" t="s">
        <v>613</v>
      </c>
      <c r="B89" s="326" t="s">
        <v>560</v>
      </c>
      <c r="C89" s="238">
        <f>+C66+C70+C75+C78+C82+C88+C87</f>
        <v>762598166</v>
      </c>
    </row>
    <row r="90" spans="1:6" s="76" customFormat="1" ht="12" customHeight="1" thickBot="1" x14ac:dyDescent="0.2">
      <c r="A90" s="340" t="s">
        <v>614</v>
      </c>
      <c r="B90" s="327" t="s">
        <v>615</v>
      </c>
      <c r="C90" s="238">
        <f>+C65+C89</f>
        <v>2337036261</v>
      </c>
      <c r="F90" s="54"/>
    </row>
    <row r="91" spans="1:6" s="77" customFormat="1" ht="15" customHeight="1" thickBot="1" x14ac:dyDescent="0.25">
      <c r="A91" s="188"/>
      <c r="B91" s="189"/>
      <c r="C91" s="291"/>
    </row>
    <row r="92" spans="1:6" s="52" customFormat="1" ht="16.5" customHeight="1" thickBot="1" x14ac:dyDescent="0.25">
      <c r="A92" s="192"/>
      <c r="B92" s="193" t="s">
        <v>71</v>
      </c>
      <c r="C92" s="293"/>
    </row>
    <row r="93" spans="1:6" s="78" customFormat="1" ht="12" customHeight="1" thickBot="1" x14ac:dyDescent="0.25">
      <c r="A93" s="311" t="s">
        <v>31</v>
      </c>
      <c r="B93" s="25" t="s">
        <v>626</v>
      </c>
      <c r="C93" s="232">
        <f>+C94+C95+C96+C97+C98+C111</f>
        <v>587597905</v>
      </c>
    </row>
    <row r="94" spans="1:6" ht="12" customHeight="1" x14ac:dyDescent="0.2">
      <c r="A94" s="341" t="s">
        <v>114</v>
      </c>
      <c r="B94" s="9" t="s">
        <v>62</v>
      </c>
      <c r="C94" s="528">
        <f>2854500+25097896+11111000+584100+20000+1182990</f>
        <v>40850486</v>
      </c>
    </row>
    <row r="95" spans="1:6" ht="12" customHeight="1" x14ac:dyDescent="0.2">
      <c r="A95" s="334" t="s">
        <v>115</v>
      </c>
      <c r="B95" s="7" t="s">
        <v>190</v>
      </c>
      <c r="C95" s="411">
        <f>500965+4771305+2167000+14000+207615</f>
        <v>7660885</v>
      </c>
    </row>
    <row r="96" spans="1:6" ht="12" customHeight="1" x14ac:dyDescent="0.2">
      <c r="A96" s="334" t="s">
        <v>116</v>
      </c>
      <c r="B96" s="7" t="s">
        <v>151</v>
      </c>
      <c r="C96" s="415">
        <f>13447475+835000+50000+52909601+6787092+2456000+4504030+871220+34163000+50473064+3285067+9000000+443000+120000+17207888+17042731+48545760+500000+381000</f>
        <v>263021928</v>
      </c>
    </row>
    <row r="97" spans="1:3" ht="12" customHeight="1" x14ac:dyDescent="0.2">
      <c r="A97" s="334" t="s">
        <v>117</v>
      </c>
      <c r="B97" s="10" t="s">
        <v>191</v>
      </c>
      <c r="C97" s="415">
        <f>69500000+3500000</f>
        <v>73000000</v>
      </c>
    </row>
    <row r="98" spans="1:3" ht="12" customHeight="1" x14ac:dyDescent="0.2">
      <c r="A98" s="334" t="s">
        <v>128</v>
      </c>
      <c r="B98" s="18" t="s">
        <v>192</v>
      </c>
      <c r="C98" s="415">
        <f>5697126+16985629+16551218+32866801+100000+660000+49357310</f>
        <v>122218084</v>
      </c>
    </row>
    <row r="99" spans="1:3" ht="12" customHeight="1" x14ac:dyDescent="0.2">
      <c r="A99" s="334" t="s">
        <v>118</v>
      </c>
      <c r="B99" s="7" t="s">
        <v>616</v>
      </c>
      <c r="C99" s="415">
        <v>100000</v>
      </c>
    </row>
    <row r="100" spans="1:3" ht="12" customHeight="1" x14ac:dyDescent="0.2">
      <c r="A100" s="334" t="s">
        <v>119</v>
      </c>
      <c r="B100" s="106" t="s">
        <v>564</v>
      </c>
      <c r="C100" s="415"/>
    </row>
    <row r="101" spans="1:3" ht="12" customHeight="1" x14ac:dyDescent="0.2">
      <c r="A101" s="334" t="s">
        <v>129</v>
      </c>
      <c r="B101" s="106" t="s">
        <v>565</v>
      </c>
      <c r="C101" s="415"/>
    </row>
    <row r="102" spans="1:3" ht="12" customHeight="1" x14ac:dyDescent="0.2">
      <c r="A102" s="334" t="s">
        <v>130</v>
      </c>
      <c r="B102" s="106" t="s">
        <v>366</v>
      </c>
      <c r="C102" s="415"/>
    </row>
    <row r="103" spans="1:3" ht="12" customHeight="1" x14ac:dyDescent="0.2">
      <c r="A103" s="334" t="s">
        <v>131</v>
      </c>
      <c r="B103" s="107" t="s">
        <v>367</v>
      </c>
      <c r="C103" s="415"/>
    </row>
    <row r="104" spans="1:3" ht="12" customHeight="1" x14ac:dyDescent="0.2">
      <c r="A104" s="334" t="s">
        <v>132</v>
      </c>
      <c r="B104" s="107" t="s">
        <v>368</v>
      </c>
      <c r="C104" s="415"/>
    </row>
    <row r="105" spans="1:3" ht="12" customHeight="1" x14ac:dyDescent="0.2">
      <c r="A105" s="334" t="s">
        <v>134</v>
      </c>
      <c r="B105" s="106" t="s">
        <v>369</v>
      </c>
      <c r="C105" s="415"/>
    </row>
    <row r="106" spans="1:3" ht="12" customHeight="1" x14ac:dyDescent="0.2">
      <c r="A106" s="334" t="s">
        <v>193</v>
      </c>
      <c r="B106" s="106" t="s">
        <v>370</v>
      </c>
      <c r="C106" s="540"/>
    </row>
    <row r="107" spans="1:3" ht="12" customHeight="1" x14ac:dyDescent="0.2">
      <c r="A107" s="334" t="s">
        <v>364</v>
      </c>
      <c r="B107" s="107" t="s">
        <v>371</v>
      </c>
      <c r="C107" s="415"/>
    </row>
    <row r="108" spans="1:3" ht="12" customHeight="1" x14ac:dyDescent="0.2">
      <c r="A108" s="342" t="s">
        <v>365</v>
      </c>
      <c r="B108" s="108" t="s">
        <v>372</v>
      </c>
      <c r="C108" s="415"/>
    </row>
    <row r="109" spans="1:3" ht="12" customHeight="1" x14ac:dyDescent="0.2">
      <c r="A109" s="334" t="s">
        <v>566</v>
      </c>
      <c r="B109" s="108" t="s">
        <v>373</v>
      </c>
      <c r="C109" s="415"/>
    </row>
    <row r="110" spans="1:3" ht="12" customHeight="1" x14ac:dyDescent="0.2">
      <c r="A110" s="334" t="s">
        <v>567</v>
      </c>
      <c r="B110" s="107" t="s">
        <v>374</v>
      </c>
      <c r="C110" s="411">
        <f>5697126+16985629+16551218+32866801+660000+49357310</f>
        <v>122118084</v>
      </c>
    </row>
    <row r="111" spans="1:3" ht="12" customHeight="1" x14ac:dyDescent="0.2">
      <c r="A111" s="334" t="s">
        <v>568</v>
      </c>
      <c r="B111" s="10" t="s">
        <v>63</v>
      </c>
      <c r="C111" s="237">
        <f>SUM(C112:C113)</f>
        <v>80846522</v>
      </c>
    </row>
    <row r="112" spans="1:3" ht="12" customHeight="1" x14ac:dyDescent="0.2">
      <c r="A112" s="335" t="s">
        <v>569</v>
      </c>
      <c r="B112" s="7" t="s">
        <v>617</v>
      </c>
      <c r="C112" s="415">
        <v>15000000</v>
      </c>
    </row>
    <row r="113" spans="1:6" ht="12" customHeight="1" thickBot="1" x14ac:dyDescent="0.25">
      <c r="A113" s="343" t="s">
        <v>571</v>
      </c>
      <c r="B113" s="109" t="s">
        <v>618</v>
      </c>
      <c r="C113" s="529">
        <v>65846522</v>
      </c>
    </row>
    <row r="114" spans="1:6" ht="12" customHeight="1" thickBot="1" x14ac:dyDescent="0.25">
      <c r="A114" s="31" t="s">
        <v>32</v>
      </c>
      <c r="B114" s="24" t="s">
        <v>375</v>
      </c>
      <c r="C114" s="233">
        <f>+C115+C117+C119</f>
        <v>515828521</v>
      </c>
    </row>
    <row r="115" spans="1:6" ht="12" customHeight="1" x14ac:dyDescent="0.2">
      <c r="A115" s="333" t="s">
        <v>120</v>
      </c>
      <c r="B115" s="7" t="s">
        <v>236</v>
      </c>
      <c r="C115" s="451">
        <f>359410+2345001+219008101+381000+1500000+3139585+33894811+2338070+4950460</f>
        <v>267916438</v>
      </c>
    </row>
    <row r="116" spans="1:6" ht="12" customHeight="1" x14ac:dyDescent="0.2">
      <c r="A116" s="333" t="s">
        <v>121</v>
      </c>
      <c r="B116" s="11" t="s">
        <v>379</v>
      </c>
      <c r="C116" s="451">
        <f>218246101+33259811</f>
        <v>251505912</v>
      </c>
    </row>
    <row r="117" spans="1:6" ht="12" customHeight="1" x14ac:dyDescent="0.2">
      <c r="A117" s="333" t="s">
        <v>122</v>
      </c>
      <c r="B117" s="11" t="s">
        <v>194</v>
      </c>
      <c r="C117" s="411">
        <f>180701362+1500000</f>
        <v>182201362</v>
      </c>
    </row>
    <row r="118" spans="1:6" ht="12" customHeight="1" x14ac:dyDescent="0.2">
      <c r="A118" s="333" t="s">
        <v>123</v>
      </c>
      <c r="B118" s="11" t="s">
        <v>380</v>
      </c>
      <c r="C118" s="411">
        <v>146098020</v>
      </c>
    </row>
    <row r="119" spans="1:6" ht="12" customHeight="1" x14ac:dyDescent="0.2">
      <c r="A119" s="333" t="s">
        <v>124</v>
      </c>
      <c r="B119" s="230" t="s">
        <v>238</v>
      </c>
      <c r="C119" s="415">
        <v>65710721</v>
      </c>
    </row>
    <row r="120" spans="1:6" ht="12" customHeight="1" x14ac:dyDescent="0.2">
      <c r="A120" s="333" t="s">
        <v>133</v>
      </c>
      <c r="B120" s="229" t="s">
        <v>442</v>
      </c>
      <c r="C120" s="217"/>
    </row>
    <row r="121" spans="1:6" ht="12" customHeight="1" x14ac:dyDescent="0.2">
      <c r="A121" s="333" t="s">
        <v>135</v>
      </c>
      <c r="B121" s="315" t="s">
        <v>385</v>
      </c>
      <c r="C121" s="217"/>
    </row>
    <row r="122" spans="1:6" ht="12" customHeight="1" x14ac:dyDescent="0.2">
      <c r="A122" s="333" t="s">
        <v>195</v>
      </c>
      <c r="B122" s="107" t="s">
        <v>368</v>
      </c>
      <c r="C122" s="217"/>
    </row>
    <row r="123" spans="1:6" ht="12" customHeight="1" x14ac:dyDescent="0.2">
      <c r="A123" s="333" t="s">
        <v>196</v>
      </c>
      <c r="B123" s="107" t="s">
        <v>384</v>
      </c>
      <c r="C123" s="217"/>
    </row>
    <row r="124" spans="1:6" ht="12" customHeight="1" x14ac:dyDescent="0.2">
      <c r="A124" s="333" t="s">
        <v>197</v>
      </c>
      <c r="B124" s="107" t="s">
        <v>383</v>
      </c>
      <c r="C124" s="217"/>
    </row>
    <row r="125" spans="1:6" ht="12" customHeight="1" x14ac:dyDescent="0.2">
      <c r="A125" s="333" t="s">
        <v>376</v>
      </c>
      <c r="B125" s="107" t="s">
        <v>371</v>
      </c>
      <c r="C125" s="217"/>
    </row>
    <row r="126" spans="1:6" ht="12" customHeight="1" x14ac:dyDescent="0.2">
      <c r="A126" s="333" t="s">
        <v>377</v>
      </c>
      <c r="B126" s="107" t="s">
        <v>382</v>
      </c>
      <c r="C126" s="217"/>
    </row>
    <row r="127" spans="1:6" ht="12" customHeight="1" thickBot="1" x14ac:dyDescent="0.25">
      <c r="A127" s="342" t="s">
        <v>378</v>
      </c>
      <c r="B127" s="107" t="s">
        <v>381</v>
      </c>
      <c r="C127" s="218">
        <v>65710721</v>
      </c>
    </row>
    <row r="128" spans="1:6" ht="12" customHeight="1" thickBot="1" x14ac:dyDescent="0.25">
      <c r="A128" s="31" t="s">
        <v>33</v>
      </c>
      <c r="B128" s="98" t="s">
        <v>573</v>
      </c>
      <c r="C128" s="233">
        <f>+C93+C114</f>
        <v>1103426426</v>
      </c>
      <c r="F128" s="419"/>
    </row>
    <row r="129" spans="1:11" ht="12" customHeight="1" thickBot="1" x14ac:dyDescent="0.25">
      <c r="A129" s="31" t="s">
        <v>34</v>
      </c>
      <c r="B129" s="98" t="s">
        <v>574</v>
      </c>
      <c r="C129" s="233">
        <f>+C130+C131+C132</f>
        <v>104042704</v>
      </c>
    </row>
    <row r="130" spans="1:11" s="78" customFormat="1" ht="12" customHeight="1" x14ac:dyDescent="0.2">
      <c r="A130" s="333" t="s">
        <v>276</v>
      </c>
      <c r="B130" s="8" t="s">
        <v>619</v>
      </c>
      <c r="C130" s="411">
        <v>4042704</v>
      </c>
    </row>
    <row r="131" spans="1:11" ht="12" customHeight="1" x14ac:dyDescent="0.2">
      <c r="A131" s="333" t="s">
        <v>279</v>
      </c>
      <c r="B131" s="8" t="s">
        <v>576</v>
      </c>
      <c r="C131" s="217">
        <v>100000000</v>
      </c>
    </row>
    <row r="132" spans="1:11" ht="12" customHeight="1" thickBot="1" x14ac:dyDescent="0.25">
      <c r="A132" s="342" t="s">
        <v>280</v>
      </c>
      <c r="B132" s="6" t="s">
        <v>620</v>
      </c>
      <c r="C132" s="217"/>
    </row>
    <row r="133" spans="1:11" ht="12" customHeight="1" thickBot="1" x14ac:dyDescent="0.25">
      <c r="A133" s="31" t="s">
        <v>35</v>
      </c>
      <c r="B133" s="98" t="s">
        <v>578</v>
      </c>
      <c r="C133" s="233">
        <f>+C134+C135+C136+C137+C138+C139</f>
        <v>0</v>
      </c>
    </row>
    <row r="134" spans="1:11" ht="12" customHeight="1" x14ac:dyDescent="0.2">
      <c r="A134" s="333" t="s">
        <v>107</v>
      </c>
      <c r="B134" s="8" t="s">
        <v>579</v>
      </c>
      <c r="C134" s="217"/>
    </row>
    <row r="135" spans="1:11" ht="12" customHeight="1" x14ac:dyDescent="0.2">
      <c r="A135" s="333" t="s">
        <v>108</v>
      </c>
      <c r="B135" s="8" t="s">
        <v>580</v>
      </c>
      <c r="C135" s="217"/>
    </row>
    <row r="136" spans="1:11" ht="12" customHeight="1" x14ac:dyDescent="0.2">
      <c r="A136" s="333" t="s">
        <v>109</v>
      </c>
      <c r="B136" s="8" t="s">
        <v>581</v>
      </c>
      <c r="C136" s="217"/>
    </row>
    <row r="137" spans="1:11" ht="12" customHeight="1" x14ac:dyDescent="0.2">
      <c r="A137" s="333" t="s">
        <v>182</v>
      </c>
      <c r="B137" s="8" t="s">
        <v>621</v>
      </c>
      <c r="C137" s="217"/>
    </row>
    <row r="138" spans="1:11" ht="12" customHeight="1" x14ac:dyDescent="0.2">
      <c r="A138" s="333" t="s">
        <v>183</v>
      </c>
      <c r="B138" s="8" t="s">
        <v>583</v>
      </c>
      <c r="C138" s="217"/>
    </row>
    <row r="139" spans="1:11" s="78" customFormat="1" ht="12" customHeight="1" thickBot="1" x14ac:dyDescent="0.25">
      <c r="A139" s="342" t="s">
        <v>184</v>
      </c>
      <c r="B139" s="6" t="s">
        <v>584</v>
      </c>
      <c r="C139" s="217"/>
    </row>
    <row r="140" spans="1:11" ht="12" customHeight="1" thickBot="1" x14ac:dyDescent="0.25">
      <c r="A140" s="31" t="s">
        <v>36</v>
      </c>
      <c r="B140" s="98" t="s">
        <v>622</v>
      </c>
      <c r="C140" s="238">
        <f>+C141+C142+C144+C145+C143</f>
        <v>38167591</v>
      </c>
      <c r="K140" s="200"/>
    </row>
    <row r="141" spans="1:11" x14ac:dyDescent="0.2">
      <c r="A141" s="333" t="s">
        <v>110</v>
      </c>
      <c r="B141" s="8" t="s">
        <v>386</v>
      </c>
      <c r="C141" s="217"/>
    </row>
    <row r="142" spans="1:11" ht="12" customHeight="1" x14ac:dyDescent="0.2">
      <c r="A142" s="333" t="s">
        <v>111</v>
      </c>
      <c r="B142" s="8" t="s">
        <v>387</v>
      </c>
      <c r="C142" s="217">
        <v>38167591</v>
      </c>
    </row>
    <row r="143" spans="1:11" s="78" customFormat="1" ht="12" customHeight="1" x14ac:dyDescent="0.2">
      <c r="A143" s="333" t="s">
        <v>300</v>
      </c>
      <c r="B143" s="8" t="s">
        <v>623</v>
      </c>
      <c r="C143" s="217"/>
    </row>
    <row r="144" spans="1:11" s="78" customFormat="1" ht="12" customHeight="1" x14ac:dyDescent="0.2">
      <c r="A144" s="333" t="s">
        <v>301</v>
      </c>
      <c r="B144" s="8" t="s">
        <v>586</v>
      </c>
      <c r="C144" s="217"/>
    </row>
    <row r="145" spans="1:6" s="78" customFormat="1" ht="12" customHeight="1" thickBot="1" x14ac:dyDescent="0.25">
      <c r="A145" s="342" t="s">
        <v>302</v>
      </c>
      <c r="B145" s="6" t="s">
        <v>405</v>
      </c>
      <c r="C145" s="217"/>
    </row>
    <row r="146" spans="1:6" s="78" customFormat="1" ht="12" customHeight="1" thickBot="1" x14ac:dyDescent="0.25">
      <c r="A146" s="31" t="s">
        <v>37</v>
      </c>
      <c r="B146" s="98" t="s">
        <v>587</v>
      </c>
      <c r="C146" s="241">
        <f>+C147+C148+C149+C150+C151</f>
        <v>0</v>
      </c>
    </row>
    <row r="147" spans="1:6" s="78" customFormat="1" ht="12" customHeight="1" x14ac:dyDescent="0.2">
      <c r="A147" s="333" t="s">
        <v>112</v>
      </c>
      <c r="B147" s="8" t="s">
        <v>588</v>
      </c>
      <c r="C147" s="217"/>
    </row>
    <row r="148" spans="1:6" s="78" customFormat="1" ht="12" customHeight="1" x14ac:dyDescent="0.2">
      <c r="A148" s="333" t="s">
        <v>113</v>
      </c>
      <c r="B148" s="8" t="s">
        <v>589</v>
      </c>
      <c r="C148" s="217"/>
    </row>
    <row r="149" spans="1:6" s="78" customFormat="1" ht="12" customHeight="1" x14ac:dyDescent="0.2">
      <c r="A149" s="333" t="s">
        <v>312</v>
      </c>
      <c r="B149" s="8" t="s">
        <v>590</v>
      </c>
      <c r="C149" s="217"/>
    </row>
    <row r="150" spans="1:6" ht="12.75" customHeight="1" x14ac:dyDescent="0.2">
      <c r="A150" s="333" t="s">
        <v>313</v>
      </c>
      <c r="B150" s="8" t="s">
        <v>624</v>
      </c>
      <c r="C150" s="217"/>
    </row>
    <row r="151" spans="1:6" ht="12.75" customHeight="1" thickBot="1" x14ac:dyDescent="0.25">
      <c r="A151" s="342" t="s">
        <v>592</v>
      </c>
      <c r="B151" s="6" t="s">
        <v>593</v>
      </c>
      <c r="C151" s="218"/>
    </row>
    <row r="152" spans="1:6" ht="12.75" customHeight="1" thickBot="1" x14ac:dyDescent="0.25">
      <c r="A152" s="404" t="s">
        <v>38</v>
      </c>
      <c r="B152" s="98" t="s">
        <v>594</v>
      </c>
      <c r="C152" s="241"/>
    </row>
    <row r="153" spans="1:6" ht="12" customHeight="1" thickBot="1" x14ac:dyDescent="0.25">
      <c r="A153" s="404" t="s">
        <v>39</v>
      </c>
      <c r="B153" s="98" t="s">
        <v>595</v>
      </c>
      <c r="C153" s="241"/>
    </row>
    <row r="154" spans="1:6" ht="15" customHeight="1" thickBot="1" x14ac:dyDescent="0.25">
      <c r="A154" s="31" t="s">
        <v>40</v>
      </c>
      <c r="B154" s="98" t="s">
        <v>596</v>
      </c>
      <c r="C154" s="329">
        <f>+C129+C133+C140+C146+C152+C153</f>
        <v>142210295</v>
      </c>
    </row>
    <row r="155" spans="1:6" ht="13.5" thickBot="1" x14ac:dyDescent="0.25">
      <c r="A155" s="344" t="s">
        <v>41</v>
      </c>
      <c r="B155" s="304" t="s">
        <v>597</v>
      </c>
      <c r="C155" s="329">
        <f>+C128+C154</f>
        <v>1245636721</v>
      </c>
      <c r="F155" s="38"/>
    </row>
    <row r="156" spans="1:6" ht="15" customHeight="1" thickBot="1" x14ac:dyDescent="0.25"/>
    <row r="157" spans="1:6" ht="14.25" customHeight="1" thickBot="1" x14ac:dyDescent="0.25">
      <c r="A157" s="197" t="s">
        <v>625</v>
      </c>
      <c r="B157" s="198"/>
      <c r="C157" s="96">
        <v>6</v>
      </c>
    </row>
    <row r="158" spans="1:6" ht="13.5" thickBot="1" x14ac:dyDescent="0.25">
      <c r="A158" s="197" t="s">
        <v>212</v>
      </c>
      <c r="B158" s="198"/>
      <c r="C158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9.1.1.melléklet a../.....(......) önkormányzati rendelethez</oddHeader>
  </headerFooter>
  <rowBreaks count="1" manualBreakCount="1"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C130" sqref="C130"/>
    </sheetView>
  </sheetViews>
  <sheetFormatPr defaultRowHeight="12.75" x14ac:dyDescent="0.2"/>
  <cols>
    <col min="1" max="1" width="19.5" style="786" customWidth="1"/>
    <col min="2" max="2" width="72" style="787" customWidth="1"/>
    <col min="3" max="3" width="25" style="788" customWidth="1"/>
    <col min="4" max="16384" width="9.33203125" style="2"/>
  </cols>
  <sheetData>
    <row r="1" spans="1:3" s="1" customFormat="1" ht="16.5" customHeight="1" thickBot="1" x14ac:dyDescent="0.25">
      <c r="A1" s="174"/>
      <c r="B1" s="176"/>
      <c r="C1" s="199"/>
    </row>
    <row r="2" spans="1:3" s="74" customFormat="1" ht="21" customHeight="1" x14ac:dyDescent="0.2">
      <c r="A2" s="309" t="s">
        <v>76</v>
      </c>
      <c r="B2" s="282" t="s">
        <v>232</v>
      </c>
      <c r="C2" s="284" t="s">
        <v>67</v>
      </c>
    </row>
    <row r="3" spans="1:3" s="74" customFormat="1" ht="16.5" thickBot="1" x14ac:dyDescent="0.25">
      <c r="A3" s="177" t="s">
        <v>209</v>
      </c>
      <c r="B3" s="283" t="s">
        <v>444</v>
      </c>
      <c r="C3" s="403" t="s">
        <v>75</v>
      </c>
    </row>
    <row r="4" spans="1:3" s="75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285" t="s">
        <v>69</v>
      </c>
    </row>
    <row r="6" spans="1:3" s="52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52" customFormat="1" ht="15.95" customHeight="1" thickBot="1" x14ac:dyDescent="0.25">
      <c r="A7" s="182"/>
      <c r="B7" s="183" t="s">
        <v>70</v>
      </c>
      <c r="C7" s="286"/>
    </row>
    <row r="8" spans="1:3" s="52" customFormat="1" ht="12" customHeight="1" thickBot="1" x14ac:dyDescent="0.25">
      <c r="A8" s="31" t="s">
        <v>31</v>
      </c>
      <c r="B8" s="20" t="s">
        <v>260</v>
      </c>
      <c r="C8" s="233">
        <f>+C9+C10+C11+C12+C13+C14</f>
        <v>195828813</v>
      </c>
    </row>
    <row r="9" spans="1:3" s="76" customFormat="1" ht="12" customHeight="1" x14ac:dyDescent="0.2">
      <c r="A9" s="333" t="s">
        <v>114</v>
      </c>
      <c r="B9" s="319" t="s">
        <v>261</v>
      </c>
      <c r="C9" s="446"/>
    </row>
    <row r="10" spans="1:3" s="77" customFormat="1" ht="12" customHeight="1" x14ac:dyDescent="0.2">
      <c r="A10" s="334" t="s">
        <v>115</v>
      </c>
      <c r="B10" s="320" t="s">
        <v>262</v>
      </c>
      <c r="C10" s="217"/>
    </row>
    <row r="11" spans="1:3" s="77" customFormat="1" ht="12" customHeight="1" x14ac:dyDescent="0.2">
      <c r="A11" s="334" t="s">
        <v>116</v>
      </c>
      <c r="B11" s="320" t="s">
        <v>263</v>
      </c>
      <c r="C11" s="217">
        <v>119410000</v>
      </c>
    </row>
    <row r="12" spans="1:3" s="77" customFormat="1" ht="12" customHeight="1" x14ac:dyDescent="0.2">
      <c r="A12" s="334" t="s">
        <v>117</v>
      </c>
      <c r="B12" s="320" t="s">
        <v>264</v>
      </c>
      <c r="C12" s="217">
        <v>12622000</v>
      </c>
    </row>
    <row r="13" spans="1:3" s="77" customFormat="1" ht="12" customHeight="1" x14ac:dyDescent="0.2">
      <c r="A13" s="334" t="s">
        <v>158</v>
      </c>
      <c r="B13" s="320" t="s">
        <v>610</v>
      </c>
      <c r="C13" s="411">
        <v>63796813</v>
      </c>
    </row>
    <row r="14" spans="1:3" s="76" customFormat="1" ht="12" customHeight="1" thickBot="1" x14ac:dyDescent="0.25">
      <c r="A14" s="335" t="s">
        <v>118</v>
      </c>
      <c r="B14" s="321" t="s">
        <v>550</v>
      </c>
      <c r="C14" s="217"/>
    </row>
    <row r="15" spans="1:3" s="76" customFormat="1" ht="12" customHeight="1" thickBot="1" x14ac:dyDescent="0.25">
      <c r="A15" s="31" t="s">
        <v>32</v>
      </c>
      <c r="B15" s="228" t="s">
        <v>265</v>
      </c>
      <c r="C15" s="233">
        <f>+C16+C17+C18+C19+C20</f>
        <v>129787110</v>
      </c>
    </row>
    <row r="16" spans="1:3" s="76" customFormat="1" ht="12" customHeight="1" x14ac:dyDescent="0.2">
      <c r="A16" s="333" t="s">
        <v>120</v>
      </c>
      <c r="B16" s="319" t="s">
        <v>266</v>
      </c>
      <c r="C16" s="235"/>
    </row>
    <row r="17" spans="1:3" s="76" customFormat="1" ht="12" customHeight="1" x14ac:dyDescent="0.2">
      <c r="A17" s="334" t="s">
        <v>121</v>
      </c>
      <c r="B17" s="320" t="s">
        <v>267</v>
      </c>
      <c r="C17" s="234"/>
    </row>
    <row r="18" spans="1:3" s="76" customFormat="1" ht="12" customHeight="1" x14ac:dyDescent="0.2">
      <c r="A18" s="334" t="s">
        <v>122</v>
      </c>
      <c r="B18" s="320" t="s">
        <v>436</v>
      </c>
      <c r="C18" s="234"/>
    </row>
    <row r="19" spans="1:3" s="76" customFormat="1" ht="12" customHeight="1" x14ac:dyDescent="0.2">
      <c r="A19" s="334" t="s">
        <v>123</v>
      </c>
      <c r="B19" s="320" t="s">
        <v>437</v>
      </c>
      <c r="C19" s="234"/>
    </row>
    <row r="20" spans="1:3" s="76" customFormat="1" ht="12" customHeight="1" x14ac:dyDescent="0.2">
      <c r="A20" s="334" t="s">
        <v>124</v>
      </c>
      <c r="B20" s="320" t="s">
        <v>268</v>
      </c>
      <c r="C20" s="411">
        <f>3900000+125887110</f>
        <v>129787110</v>
      </c>
    </row>
    <row r="21" spans="1:3" s="77" customFormat="1" ht="12" customHeight="1" thickBot="1" x14ac:dyDescent="0.25">
      <c r="A21" s="335" t="s">
        <v>133</v>
      </c>
      <c r="B21" s="321" t="s">
        <v>269</v>
      </c>
      <c r="C21" s="236"/>
    </row>
    <row r="22" spans="1:3" s="77" customFormat="1" ht="12" customHeight="1" thickBot="1" x14ac:dyDescent="0.25">
      <c r="A22" s="31" t="s">
        <v>33</v>
      </c>
      <c r="B22" s="20" t="s">
        <v>270</v>
      </c>
      <c r="C22" s="233">
        <f>+C23+C24+C25+C26+C27</f>
        <v>0</v>
      </c>
    </row>
    <row r="23" spans="1:3" s="77" customFormat="1" ht="12" customHeight="1" x14ac:dyDescent="0.2">
      <c r="A23" s="333" t="s">
        <v>103</v>
      </c>
      <c r="B23" s="319" t="s">
        <v>271</v>
      </c>
      <c r="C23" s="235"/>
    </row>
    <row r="24" spans="1:3" s="76" customFormat="1" ht="12" customHeight="1" x14ac:dyDescent="0.2">
      <c r="A24" s="334" t="s">
        <v>104</v>
      </c>
      <c r="B24" s="320" t="s">
        <v>272</v>
      </c>
      <c r="C24" s="234"/>
    </row>
    <row r="25" spans="1:3" s="77" customFormat="1" ht="12" customHeight="1" x14ac:dyDescent="0.2">
      <c r="A25" s="334" t="s">
        <v>105</v>
      </c>
      <c r="B25" s="320" t="s">
        <v>438</v>
      </c>
      <c r="C25" s="234"/>
    </row>
    <row r="26" spans="1:3" s="77" customFormat="1" ht="12" customHeight="1" x14ac:dyDescent="0.2">
      <c r="A26" s="334" t="s">
        <v>106</v>
      </c>
      <c r="B26" s="320" t="s">
        <v>439</v>
      </c>
      <c r="C26" s="234"/>
    </row>
    <row r="27" spans="1:3" s="77" customFormat="1" ht="12" customHeight="1" x14ac:dyDescent="0.2">
      <c r="A27" s="334" t="s">
        <v>178</v>
      </c>
      <c r="B27" s="320" t="s">
        <v>273</v>
      </c>
      <c r="C27" s="237"/>
    </row>
    <row r="28" spans="1:3" s="77" customFormat="1" ht="12" customHeight="1" thickBot="1" x14ac:dyDescent="0.25">
      <c r="A28" s="335" t="s">
        <v>179</v>
      </c>
      <c r="B28" s="321" t="s">
        <v>274</v>
      </c>
      <c r="C28" s="308"/>
    </row>
    <row r="29" spans="1:3" s="77" customFormat="1" ht="12" customHeight="1" thickBot="1" x14ac:dyDescent="0.25">
      <c r="A29" s="31" t="s">
        <v>180</v>
      </c>
      <c r="B29" s="20" t="s">
        <v>275</v>
      </c>
      <c r="C29" s="233">
        <f>+C30+C34+C35+C36</f>
        <v>0</v>
      </c>
    </row>
    <row r="30" spans="1:3" s="77" customFormat="1" ht="12" customHeight="1" x14ac:dyDescent="0.2">
      <c r="A30" s="333" t="s">
        <v>276</v>
      </c>
      <c r="B30" s="319" t="s">
        <v>611</v>
      </c>
      <c r="C30" s="314">
        <f>+C31+C32+C33</f>
        <v>0</v>
      </c>
    </row>
    <row r="31" spans="1:3" s="77" customFormat="1" ht="12" customHeight="1" x14ac:dyDescent="0.2">
      <c r="A31" s="334" t="s">
        <v>277</v>
      </c>
      <c r="B31" s="320" t="s">
        <v>282</v>
      </c>
      <c r="C31" s="234"/>
    </row>
    <row r="32" spans="1:3" s="77" customFormat="1" ht="12" customHeight="1" x14ac:dyDescent="0.2">
      <c r="A32" s="334" t="s">
        <v>278</v>
      </c>
      <c r="B32" s="320" t="s">
        <v>283</v>
      </c>
      <c r="C32" s="234"/>
    </row>
    <row r="33" spans="1:3" s="77" customFormat="1" ht="12" customHeight="1" x14ac:dyDescent="0.2">
      <c r="A33" s="334" t="s">
        <v>552</v>
      </c>
      <c r="B33" s="391" t="s">
        <v>553</v>
      </c>
      <c r="C33" s="234"/>
    </row>
    <row r="34" spans="1:3" s="77" customFormat="1" ht="12" customHeight="1" x14ac:dyDescent="0.2">
      <c r="A34" s="334" t="s">
        <v>279</v>
      </c>
      <c r="B34" s="320" t="s">
        <v>284</v>
      </c>
      <c r="C34" s="234"/>
    </row>
    <row r="35" spans="1:3" s="77" customFormat="1" ht="12" customHeight="1" x14ac:dyDescent="0.2">
      <c r="A35" s="334" t="s">
        <v>280</v>
      </c>
      <c r="B35" s="320" t="s">
        <v>285</v>
      </c>
      <c r="C35" s="234"/>
    </row>
    <row r="36" spans="1:3" s="77" customFormat="1" ht="12" customHeight="1" thickBot="1" x14ac:dyDescent="0.25">
      <c r="A36" s="335" t="s">
        <v>281</v>
      </c>
      <c r="B36" s="321" t="s">
        <v>286</v>
      </c>
      <c r="C36" s="236"/>
    </row>
    <row r="37" spans="1:3" s="77" customFormat="1" ht="12" customHeight="1" thickBot="1" x14ac:dyDescent="0.25">
      <c r="A37" s="31" t="s">
        <v>35</v>
      </c>
      <c r="B37" s="20" t="s">
        <v>554</v>
      </c>
      <c r="C37" s="233">
        <f>SUM(C38:C48)</f>
        <v>15502000</v>
      </c>
    </row>
    <row r="38" spans="1:3" s="77" customFormat="1" ht="12" customHeight="1" x14ac:dyDescent="0.2">
      <c r="A38" s="333" t="s">
        <v>107</v>
      </c>
      <c r="B38" s="319" t="s">
        <v>289</v>
      </c>
      <c r="C38" s="446">
        <v>12159000</v>
      </c>
    </row>
    <row r="39" spans="1:3" s="77" customFormat="1" ht="12" customHeight="1" x14ac:dyDescent="0.2">
      <c r="A39" s="334" t="s">
        <v>108</v>
      </c>
      <c r="B39" s="320" t="s">
        <v>290</v>
      </c>
      <c r="C39" s="411"/>
    </row>
    <row r="40" spans="1:3" s="77" customFormat="1" ht="12" customHeight="1" x14ac:dyDescent="0.2">
      <c r="A40" s="334" t="s">
        <v>109</v>
      </c>
      <c r="B40" s="320" t="s">
        <v>291</v>
      </c>
      <c r="C40" s="411"/>
    </row>
    <row r="41" spans="1:3" s="77" customFormat="1" ht="12" customHeight="1" x14ac:dyDescent="0.2">
      <c r="A41" s="334" t="s">
        <v>182</v>
      </c>
      <c r="B41" s="320" t="s">
        <v>292</v>
      </c>
      <c r="C41" s="217"/>
    </row>
    <row r="42" spans="1:3" s="77" customFormat="1" ht="12" customHeight="1" x14ac:dyDescent="0.2">
      <c r="A42" s="334" t="s">
        <v>183</v>
      </c>
      <c r="B42" s="320" t="s">
        <v>293</v>
      </c>
      <c r="C42" s="217"/>
    </row>
    <row r="43" spans="1:3" s="77" customFormat="1" ht="12" customHeight="1" x14ac:dyDescent="0.2">
      <c r="A43" s="334" t="s">
        <v>184</v>
      </c>
      <c r="B43" s="320" t="s">
        <v>294</v>
      </c>
      <c r="C43" s="217">
        <v>3283000</v>
      </c>
    </row>
    <row r="44" spans="1:3" s="77" customFormat="1" ht="12" customHeight="1" x14ac:dyDescent="0.2">
      <c r="A44" s="334" t="s">
        <v>185</v>
      </c>
      <c r="B44" s="320" t="s">
        <v>295</v>
      </c>
      <c r="C44" s="217"/>
    </row>
    <row r="45" spans="1:3" s="77" customFormat="1" ht="12" customHeight="1" x14ac:dyDescent="0.2">
      <c r="A45" s="334" t="s">
        <v>186</v>
      </c>
      <c r="B45" s="320" t="s">
        <v>296</v>
      </c>
      <c r="C45" s="217"/>
    </row>
    <row r="46" spans="1:3" s="77" customFormat="1" ht="12" customHeight="1" x14ac:dyDescent="0.2">
      <c r="A46" s="334" t="s">
        <v>287</v>
      </c>
      <c r="B46" s="320" t="s">
        <v>297</v>
      </c>
      <c r="C46" s="411"/>
    </row>
    <row r="47" spans="1:3" s="77" customFormat="1" ht="12" customHeight="1" x14ac:dyDescent="0.2">
      <c r="A47" s="335" t="s">
        <v>288</v>
      </c>
      <c r="B47" s="321" t="s">
        <v>555</v>
      </c>
      <c r="C47" s="415"/>
    </row>
    <row r="48" spans="1:3" s="77" customFormat="1" ht="12" customHeight="1" thickBot="1" x14ac:dyDescent="0.25">
      <c r="A48" s="335" t="s">
        <v>556</v>
      </c>
      <c r="B48" s="321" t="s">
        <v>298</v>
      </c>
      <c r="C48" s="415">
        <v>60000</v>
      </c>
    </row>
    <row r="49" spans="1:3" s="77" customFormat="1" ht="12" customHeight="1" thickBot="1" x14ac:dyDescent="0.25">
      <c r="A49" s="31" t="s">
        <v>36</v>
      </c>
      <c r="B49" s="20" t="s">
        <v>299</v>
      </c>
      <c r="C49" s="233">
        <f>SUM(C50:C54)</f>
        <v>0</v>
      </c>
    </row>
    <row r="50" spans="1:3" s="77" customFormat="1" ht="12" customHeight="1" x14ac:dyDescent="0.2">
      <c r="A50" s="333" t="s">
        <v>110</v>
      </c>
      <c r="B50" s="319" t="s">
        <v>303</v>
      </c>
      <c r="C50" s="235"/>
    </row>
    <row r="51" spans="1:3" s="77" customFormat="1" ht="12" customHeight="1" x14ac:dyDescent="0.2">
      <c r="A51" s="334" t="s">
        <v>111</v>
      </c>
      <c r="B51" s="320" t="s">
        <v>304</v>
      </c>
      <c r="C51" s="234"/>
    </row>
    <row r="52" spans="1:3" s="77" customFormat="1" ht="12" customHeight="1" x14ac:dyDescent="0.2">
      <c r="A52" s="334" t="s">
        <v>300</v>
      </c>
      <c r="B52" s="320" t="s">
        <v>305</v>
      </c>
      <c r="C52" s="234"/>
    </row>
    <row r="53" spans="1:3" s="77" customFormat="1" ht="12" customHeight="1" x14ac:dyDescent="0.2">
      <c r="A53" s="334" t="s">
        <v>301</v>
      </c>
      <c r="B53" s="320" t="s">
        <v>306</v>
      </c>
      <c r="C53" s="234"/>
    </row>
    <row r="54" spans="1:3" s="77" customFormat="1" ht="12" customHeight="1" thickBot="1" x14ac:dyDescent="0.25">
      <c r="A54" s="335" t="s">
        <v>302</v>
      </c>
      <c r="B54" s="321" t="s">
        <v>307</v>
      </c>
      <c r="C54" s="236"/>
    </row>
    <row r="55" spans="1:3" s="77" customFormat="1" ht="12" customHeight="1" thickBot="1" x14ac:dyDescent="0.25">
      <c r="A55" s="31" t="s">
        <v>187</v>
      </c>
      <c r="B55" s="20" t="s">
        <v>308</v>
      </c>
      <c r="C55" s="233">
        <f>SUM(C56:C58)</f>
        <v>1866000</v>
      </c>
    </row>
    <row r="56" spans="1:3" s="77" customFormat="1" ht="12" customHeight="1" x14ac:dyDescent="0.2">
      <c r="A56" s="333" t="s">
        <v>112</v>
      </c>
      <c r="B56" s="319" t="s">
        <v>309</v>
      </c>
      <c r="C56" s="235"/>
    </row>
    <row r="57" spans="1:3" s="77" customFormat="1" ht="12" customHeight="1" x14ac:dyDescent="0.2">
      <c r="A57" s="334" t="s">
        <v>113</v>
      </c>
      <c r="B57" s="320" t="s">
        <v>440</v>
      </c>
      <c r="C57" s="411">
        <f>300000+1566000</f>
        <v>1866000</v>
      </c>
    </row>
    <row r="58" spans="1:3" s="77" customFormat="1" ht="12" customHeight="1" x14ac:dyDescent="0.2">
      <c r="A58" s="334" t="s">
        <v>312</v>
      </c>
      <c r="B58" s="320" t="s">
        <v>310</v>
      </c>
      <c r="C58" s="234"/>
    </row>
    <row r="59" spans="1:3" s="77" customFormat="1" ht="12" customHeight="1" thickBot="1" x14ac:dyDescent="0.25">
      <c r="A59" s="335" t="s">
        <v>313</v>
      </c>
      <c r="B59" s="321" t="s">
        <v>311</v>
      </c>
      <c r="C59" s="236"/>
    </row>
    <row r="60" spans="1:3" s="77" customFormat="1" ht="12" customHeight="1" thickBot="1" x14ac:dyDescent="0.25">
      <c r="A60" s="31" t="s">
        <v>38</v>
      </c>
      <c r="B60" s="228" t="s">
        <v>314</v>
      </c>
      <c r="C60" s="233">
        <f>SUM(C61:C63)</f>
        <v>0</v>
      </c>
    </row>
    <row r="61" spans="1:3" s="77" customFormat="1" ht="12" customHeight="1" x14ac:dyDescent="0.2">
      <c r="A61" s="333" t="s">
        <v>188</v>
      </c>
      <c r="B61" s="319" t="s">
        <v>316</v>
      </c>
      <c r="C61" s="234"/>
    </row>
    <row r="62" spans="1:3" s="77" customFormat="1" ht="12" customHeight="1" x14ac:dyDescent="0.2">
      <c r="A62" s="334" t="s">
        <v>189</v>
      </c>
      <c r="B62" s="320" t="s">
        <v>441</v>
      </c>
      <c r="C62" s="234"/>
    </row>
    <row r="63" spans="1:3" s="77" customFormat="1" ht="12" customHeight="1" x14ac:dyDescent="0.2">
      <c r="A63" s="334" t="s">
        <v>237</v>
      </c>
      <c r="B63" s="320" t="s">
        <v>317</v>
      </c>
      <c r="C63" s="234"/>
    </row>
    <row r="64" spans="1:3" s="77" customFormat="1" ht="12" customHeight="1" thickBot="1" x14ac:dyDescent="0.25">
      <c r="A64" s="335" t="s">
        <v>315</v>
      </c>
      <c r="B64" s="321" t="s">
        <v>318</v>
      </c>
      <c r="C64" s="234"/>
    </row>
    <row r="65" spans="1:3" s="77" customFormat="1" ht="12" customHeight="1" thickBot="1" x14ac:dyDescent="0.25">
      <c r="A65" s="31" t="s">
        <v>39</v>
      </c>
      <c r="B65" s="20" t="s">
        <v>319</v>
      </c>
      <c r="C65" s="233">
        <f>+C8+C15+C22+C29+C37+C49+C55+C60</f>
        <v>342983923</v>
      </c>
    </row>
    <row r="66" spans="1:3" s="77" customFormat="1" ht="12" customHeight="1" thickBot="1" x14ac:dyDescent="0.2">
      <c r="A66" s="336" t="s">
        <v>409</v>
      </c>
      <c r="B66" s="228" t="s">
        <v>321</v>
      </c>
      <c r="C66" s="233">
        <f>SUM(C67:C69)</f>
        <v>0</v>
      </c>
    </row>
    <row r="67" spans="1:3" s="77" customFormat="1" ht="12" customHeight="1" x14ac:dyDescent="0.2">
      <c r="A67" s="333" t="s">
        <v>352</v>
      </c>
      <c r="B67" s="319" t="s">
        <v>322</v>
      </c>
      <c r="C67" s="234"/>
    </row>
    <row r="68" spans="1:3" s="77" customFormat="1" ht="12" customHeight="1" x14ac:dyDescent="0.2">
      <c r="A68" s="334" t="s">
        <v>361</v>
      </c>
      <c r="B68" s="320" t="s">
        <v>323</v>
      </c>
      <c r="C68" s="234"/>
    </row>
    <row r="69" spans="1:3" s="77" customFormat="1" ht="12" customHeight="1" thickBot="1" x14ac:dyDescent="0.25">
      <c r="A69" s="335" t="s">
        <v>362</v>
      </c>
      <c r="B69" s="322" t="s">
        <v>324</v>
      </c>
      <c r="C69" s="234"/>
    </row>
    <row r="70" spans="1:3" s="77" customFormat="1" ht="12" customHeight="1" thickBot="1" x14ac:dyDescent="0.2">
      <c r="A70" s="336" t="s">
        <v>325</v>
      </c>
      <c r="B70" s="228" t="s">
        <v>326</v>
      </c>
      <c r="C70" s="554">
        <f>SUM(C71:C74)</f>
        <v>0</v>
      </c>
    </row>
    <row r="71" spans="1:3" s="77" customFormat="1" ht="12" customHeight="1" x14ac:dyDescent="0.2">
      <c r="A71" s="333" t="s">
        <v>159</v>
      </c>
      <c r="B71" s="319" t="s">
        <v>327</v>
      </c>
      <c r="C71" s="234"/>
    </row>
    <row r="72" spans="1:3" s="77" customFormat="1" ht="12" customHeight="1" x14ac:dyDescent="0.2">
      <c r="A72" s="334" t="s">
        <v>160</v>
      </c>
      <c r="B72" s="320" t="s">
        <v>328</v>
      </c>
      <c r="C72" s="234"/>
    </row>
    <row r="73" spans="1:3" s="77" customFormat="1" ht="12" customHeight="1" x14ac:dyDescent="0.2">
      <c r="A73" s="334" t="s">
        <v>353</v>
      </c>
      <c r="B73" s="320" t="s">
        <v>329</v>
      </c>
      <c r="C73" s="234"/>
    </row>
    <row r="74" spans="1:3" s="77" customFormat="1" ht="12" customHeight="1" thickBot="1" x14ac:dyDescent="0.25">
      <c r="A74" s="335" t="s">
        <v>354</v>
      </c>
      <c r="B74" s="321" t="s">
        <v>330</v>
      </c>
      <c r="C74" s="234"/>
    </row>
    <row r="75" spans="1:3" s="77" customFormat="1" ht="12" customHeight="1" thickBot="1" x14ac:dyDescent="0.2">
      <c r="A75" s="336" t="s">
        <v>331</v>
      </c>
      <c r="B75" s="228" t="s">
        <v>332</v>
      </c>
      <c r="C75" s="554">
        <f>SUM(C76:C77)</f>
        <v>0</v>
      </c>
    </row>
    <row r="76" spans="1:3" s="77" customFormat="1" ht="12" customHeight="1" x14ac:dyDescent="0.2">
      <c r="A76" s="333" t="s">
        <v>355</v>
      </c>
      <c r="B76" s="319" t="s">
        <v>333</v>
      </c>
      <c r="C76" s="234"/>
    </row>
    <row r="77" spans="1:3" s="77" customFormat="1" ht="12" customHeight="1" thickBot="1" x14ac:dyDescent="0.25">
      <c r="A77" s="335" t="s">
        <v>356</v>
      </c>
      <c r="B77" s="321" t="s">
        <v>334</v>
      </c>
      <c r="C77" s="234"/>
    </row>
    <row r="78" spans="1:3" s="76" customFormat="1" ht="12" customHeight="1" thickBot="1" x14ac:dyDescent="0.2">
      <c r="A78" s="336" t="s">
        <v>335</v>
      </c>
      <c r="B78" s="228" t="s">
        <v>336</v>
      </c>
      <c r="C78" s="233">
        <f>SUM(C79:C81)</f>
        <v>0</v>
      </c>
    </row>
    <row r="79" spans="1:3" s="77" customFormat="1" ht="12" customHeight="1" x14ac:dyDescent="0.2">
      <c r="A79" s="333" t="s">
        <v>357</v>
      </c>
      <c r="B79" s="319" t="s">
        <v>337</v>
      </c>
      <c r="C79" s="234"/>
    </row>
    <row r="80" spans="1:3" s="77" customFormat="1" ht="12" customHeight="1" x14ac:dyDescent="0.2">
      <c r="A80" s="334" t="s">
        <v>358</v>
      </c>
      <c r="B80" s="320" t="s">
        <v>338</v>
      </c>
      <c r="C80" s="234"/>
    </row>
    <row r="81" spans="1:3" s="77" customFormat="1" ht="12" customHeight="1" thickBot="1" x14ac:dyDescent="0.25">
      <c r="A81" s="335" t="s">
        <v>359</v>
      </c>
      <c r="B81" s="321" t="s">
        <v>339</v>
      </c>
      <c r="C81" s="234"/>
    </row>
    <row r="82" spans="1:3" s="77" customFormat="1" ht="12" customHeight="1" thickBot="1" x14ac:dyDescent="0.2">
      <c r="A82" s="336" t="s">
        <v>340</v>
      </c>
      <c r="B82" s="228" t="s">
        <v>360</v>
      </c>
      <c r="C82" s="233">
        <f>SUM(C83:C86)</f>
        <v>0</v>
      </c>
    </row>
    <row r="83" spans="1:3" s="77" customFormat="1" ht="12" customHeight="1" x14ac:dyDescent="0.2">
      <c r="A83" s="337" t="s">
        <v>341</v>
      </c>
      <c r="B83" s="319" t="s">
        <v>342</v>
      </c>
      <c r="C83" s="234"/>
    </row>
    <row r="84" spans="1:3" s="77" customFormat="1" ht="12" customHeight="1" x14ac:dyDescent="0.2">
      <c r="A84" s="338" t="s">
        <v>343</v>
      </c>
      <c r="B84" s="320" t="s">
        <v>344</v>
      </c>
      <c r="C84" s="234"/>
    </row>
    <row r="85" spans="1:3" s="77" customFormat="1" ht="12" customHeight="1" x14ac:dyDescent="0.2">
      <c r="A85" s="338" t="s">
        <v>345</v>
      </c>
      <c r="B85" s="320" t="s">
        <v>346</v>
      </c>
      <c r="C85" s="234"/>
    </row>
    <row r="86" spans="1:3" s="76" customFormat="1" ht="12" customHeight="1" thickBot="1" x14ac:dyDescent="0.25">
      <c r="A86" s="339" t="s">
        <v>347</v>
      </c>
      <c r="B86" s="321" t="s">
        <v>348</v>
      </c>
      <c r="C86" s="234"/>
    </row>
    <row r="87" spans="1:3" s="76" customFormat="1" ht="12" customHeight="1" thickBot="1" x14ac:dyDescent="0.2">
      <c r="A87" s="336" t="s">
        <v>349</v>
      </c>
      <c r="B87" s="228" t="s">
        <v>559</v>
      </c>
      <c r="C87" s="358"/>
    </row>
    <row r="88" spans="1:3" s="76" customFormat="1" ht="12" customHeight="1" thickBot="1" x14ac:dyDescent="0.2">
      <c r="A88" s="336" t="s">
        <v>612</v>
      </c>
      <c r="B88" s="228" t="s">
        <v>350</v>
      </c>
      <c r="C88" s="358"/>
    </row>
    <row r="89" spans="1:3" s="76" customFormat="1" ht="12" customHeight="1" thickBot="1" x14ac:dyDescent="0.2">
      <c r="A89" s="336" t="s">
        <v>613</v>
      </c>
      <c r="B89" s="326" t="s">
        <v>560</v>
      </c>
      <c r="C89" s="233">
        <f>+C66+C70+C75+C78+C82+C88+C87</f>
        <v>0</v>
      </c>
    </row>
    <row r="90" spans="1:3" s="76" customFormat="1" ht="12" customHeight="1" thickBot="1" x14ac:dyDescent="0.2">
      <c r="A90" s="340" t="s">
        <v>614</v>
      </c>
      <c r="B90" s="327" t="s">
        <v>615</v>
      </c>
      <c r="C90" s="233">
        <f>+C65+C89</f>
        <v>342983923</v>
      </c>
    </row>
    <row r="91" spans="1:3" s="77" customFormat="1" ht="15" customHeight="1" thickBot="1" x14ac:dyDescent="0.25">
      <c r="A91" s="188"/>
      <c r="B91" s="189"/>
      <c r="C91" s="291"/>
    </row>
    <row r="92" spans="1:3" s="52" customFormat="1" ht="16.5" customHeight="1" thickBot="1" x14ac:dyDescent="0.25">
      <c r="A92" s="192"/>
      <c r="B92" s="193" t="s">
        <v>71</v>
      </c>
      <c r="C92" s="293"/>
    </row>
    <row r="93" spans="1:3" s="78" customFormat="1" ht="12" customHeight="1" thickBot="1" x14ac:dyDescent="0.25">
      <c r="A93" s="311" t="s">
        <v>31</v>
      </c>
      <c r="B93" s="25" t="s">
        <v>626</v>
      </c>
      <c r="C93" s="232">
        <f>+C94+C95+C96+C97+C98+C111</f>
        <v>94940080</v>
      </c>
    </row>
    <row r="94" spans="1:3" ht="12" customHeight="1" x14ac:dyDescent="0.2">
      <c r="A94" s="341" t="s">
        <v>114</v>
      </c>
      <c r="B94" s="9" t="s">
        <v>62</v>
      </c>
      <c r="C94" s="528">
        <f>75000+4401892+2491000</f>
        <v>6967892</v>
      </c>
    </row>
    <row r="95" spans="1:3" ht="12" customHeight="1" x14ac:dyDescent="0.2">
      <c r="A95" s="334" t="s">
        <v>115</v>
      </c>
      <c r="B95" s="7" t="s">
        <v>190</v>
      </c>
      <c r="C95" s="411">
        <f>13275+17258+773000+1015000</f>
        <v>1818533</v>
      </c>
    </row>
    <row r="96" spans="1:3" ht="12" customHeight="1" x14ac:dyDescent="0.2">
      <c r="A96" s="334" t="s">
        <v>116</v>
      </c>
      <c r="B96" s="7" t="s">
        <v>151</v>
      </c>
      <c r="C96" s="415">
        <f>16099000+3082677+397000+194467+34200000+156511+2681000+3300000</f>
        <v>60110655</v>
      </c>
    </row>
    <row r="97" spans="1:3" ht="12" customHeight="1" x14ac:dyDescent="0.2">
      <c r="A97" s="334" t="s">
        <v>117</v>
      </c>
      <c r="B97" s="10" t="s">
        <v>191</v>
      </c>
      <c r="C97" s="415"/>
    </row>
    <row r="98" spans="1:3" ht="12" customHeight="1" x14ac:dyDescent="0.2">
      <c r="A98" s="334" t="s">
        <v>128</v>
      </c>
      <c r="B98" s="18" t="s">
        <v>192</v>
      </c>
      <c r="C98" s="415">
        <f>5950000+16000000+4093000</f>
        <v>26043000</v>
      </c>
    </row>
    <row r="99" spans="1:3" ht="12" customHeight="1" x14ac:dyDescent="0.2">
      <c r="A99" s="334" t="s">
        <v>118</v>
      </c>
      <c r="B99" s="7" t="s">
        <v>616</v>
      </c>
      <c r="C99" s="415"/>
    </row>
    <row r="100" spans="1:3" ht="12" customHeight="1" x14ac:dyDescent="0.2">
      <c r="A100" s="334" t="s">
        <v>119</v>
      </c>
      <c r="B100" s="106" t="s">
        <v>564</v>
      </c>
      <c r="C100" s="415"/>
    </row>
    <row r="101" spans="1:3" ht="12" customHeight="1" x14ac:dyDescent="0.2">
      <c r="A101" s="334" t="s">
        <v>129</v>
      </c>
      <c r="B101" s="106" t="s">
        <v>565</v>
      </c>
      <c r="C101" s="415"/>
    </row>
    <row r="102" spans="1:3" ht="12" customHeight="1" x14ac:dyDescent="0.2">
      <c r="A102" s="334" t="s">
        <v>130</v>
      </c>
      <c r="B102" s="106" t="s">
        <v>366</v>
      </c>
      <c r="C102" s="415"/>
    </row>
    <row r="103" spans="1:3" ht="12" customHeight="1" x14ac:dyDescent="0.2">
      <c r="A103" s="334" t="s">
        <v>131</v>
      </c>
      <c r="B103" s="107" t="s">
        <v>367</v>
      </c>
      <c r="C103" s="415"/>
    </row>
    <row r="104" spans="1:3" ht="12" customHeight="1" x14ac:dyDescent="0.2">
      <c r="A104" s="334" t="s">
        <v>132</v>
      </c>
      <c r="B104" s="107" t="s">
        <v>368</v>
      </c>
      <c r="C104" s="415"/>
    </row>
    <row r="105" spans="1:3" ht="12" customHeight="1" x14ac:dyDescent="0.2">
      <c r="A105" s="334" t="s">
        <v>134</v>
      </c>
      <c r="B105" s="106" t="s">
        <v>369</v>
      </c>
      <c r="C105" s="415"/>
    </row>
    <row r="106" spans="1:3" ht="12" customHeight="1" x14ac:dyDescent="0.2">
      <c r="A106" s="334" t="s">
        <v>193</v>
      </c>
      <c r="B106" s="106" t="s">
        <v>370</v>
      </c>
      <c r="C106" s="415"/>
    </row>
    <row r="107" spans="1:3" ht="12" customHeight="1" x14ac:dyDescent="0.2">
      <c r="A107" s="334" t="s">
        <v>364</v>
      </c>
      <c r="B107" s="107" t="s">
        <v>371</v>
      </c>
      <c r="C107" s="415"/>
    </row>
    <row r="108" spans="1:3" ht="12" customHeight="1" x14ac:dyDescent="0.2">
      <c r="A108" s="342" t="s">
        <v>365</v>
      </c>
      <c r="B108" s="108" t="s">
        <v>372</v>
      </c>
      <c r="C108" s="415"/>
    </row>
    <row r="109" spans="1:3" ht="12" customHeight="1" x14ac:dyDescent="0.2">
      <c r="A109" s="334" t="s">
        <v>566</v>
      </c>
      <c r="B109" s="108" t="s">
        <v>373</v>
      </c>
      <c r="C109" s="415"/>
    </row>
    <row r="110" spans="1:3" ht="12" customHeight="1" x14ac:dyDescent="0.2">
      <c r="A110" s="334" t="s">
        <v>567</v>
      </c>
      <c r="B110" s="107" t="s">
        <v>374</v>
      </c>
      <c r="C110" s="411">
        <f>5950000+16000000+4093000</f>
        <v>26043000</v>
      </c>
    </row>
    <row r="111" spans="1:3" ht="12" customHeight="1" x14ac:dyDescent="0.2">
      <c r="A111" s="334" t="s">
        <v>568</v>
      </c>
      <c r="B111" s="10" t="s">
        <v>63</v>
      </c>
      <c r="C111" s="237"/>
    </row>
    <row r="112" spans="1:3" ht="12" customHeight="1" x14ac:dyDescent="0.2">
      <c r="A112" s="335" t="s">
        <v>569</v>
      </c>
      <c r="B112" s="7" t="s">
        <v>617</v>
      </c>
      <c r="C112" s="236"/>
    </row>
    <row r="113" spans="1:3" ht="12" customHeight="1" thickBot="1" x14ac:dyDescent="0.25">
      <c r="A113" s="343" t="s">
        <v>571</v>
      </c>
      <c r="B113" s="109" t="s">
        <v>618</v>
      </c>
      <c r="C113" s="240"/>
    </row>
    <row r="114" spans="1:3" ht="12" customHeight="1" thickBot="1" x14ac:dyDescent="0.25">
      <c r="A114" s="31" t="s">
        <v>32</v>
      </c>
      <c r="B114" s="24" t="s">
        <v>375</v>
      </c>
      <c r="C114" s="233">
        <f>+C115+C117+C119</f>
        <v>13250673</v>
      </c>
    </row>
    <row r="115" spans="1:3" ht="12" customHeight="1" x14ac:dyDescent="0.2">
      <c r="A115" s="333" t="s">
        <v>120</v>
      </c>
      <c r="B115" s="7" t="s">
        <v>236</v>
      </c>
      <c r="C115" s="451">
        <f>12873483+377190</f>
        <v>13250673</v>
      </c>
    </row>
    <row r="116" spans="1:3" ht="12" customHeight="1" x14ac:dyDescent="0.2">
      <c r="A116" s="333" t="s">
        <v>121</v>
      </c>
      <c r="B116" s="11" t="s">
        <v>379</v>
      </c>
      <c r="C116" s="451">
        <v>12873483</v>
      </c>
    </row>
    <row r="117" spans="1:3" ht="12" customHeight="1" x14ac:dyDescent="0.2">
      <c r="A117" s="333" t="s">
        <v>122</v>
      </c>
      <c r="B117" s="11" t="s">
        <v>194</v>
      </c>
      <c r="C117" s="237"/>
    </row>
    <row r="118" spans="1:3" ht="12" customHeight="1" x14ac:dyDescent="0.2">
      <c r="A118" s="333" t="s">
        <v>123</v>
      </c>
      <c r="B118" s="11" t="s">
        <v>380</v>
      </c>
      <c r="C118" s="411"/>
    </row>
    <row r="119" spans="1:3" ht="12" customHeight="1" x14ac:dyDescent="0.2">
      <c r="A119" s="333" t="s">
        <v>124</v>
      </c>
      <c r="B119" s="230" t="s">
        <v>238</v>
      </c>
      <c r="C119" s="411"/>
    </row>
    <row r="120" spans="1:3" ht="12" customHeight="1" x14ac:dyDescent="0.2">
      <c r="A120" s="333" t="s">
        <v>133</v>
      </c>
      <c r="B120" s="229" t="s">
        <v>442</v>
      </c>
      <c r="C120" s="411"/>
    </row>
    <row r="121" spans="1:3" ht="12" customHeight="1" x14ac:dyDescent="0.2">
      <c r="A121" s="333" t="s">
        <v>135</v>
      </c>
      <c r="B121" s="315" t="s">
        <v>385</v>
      </c>
      <c r="C121" s="411"/>
    </row>
    <row r="122" spans="1:3" ht="12" customHeight="1" x14ac:dyDescent="0.2">
      <c r="A122" s="333" t="s">
        <v>195</v>
      </c>
      <c r="B122" s="107" t="s">
        <v>368</v>
      </c>
      <c r="C122" s="416"/>
    </row>
    <row r="123" spans="1:3" ht="12" customHeight="1" x14ac:dyDescent="0.2">
      <c r="A123" s="333" t="s">
        <v>196</v>
      </c>
      <c r="B123" s="107" t="s">
        <v>384</v>
      </c>
      <c r="C123" s="416"/>
    </row>
    <row r="124" spans="1:3" ht="12" customHeight="1" x14ac:dyDescent="0.2">
      <c r="A124" s="333" t="s">
        <v>197</v>
      </c>
      <c r="B124" s="107" t="s">
        <v>383</v>
      </c>
      <c r="C124" s="416"/>
    </row>
    <row r="125" spans="1:3" ht="12" customHeight="1" x14ac:dyDescent="0.2">
      <c r="A125" s="333" t="s">
        <v>376</v>
      </c>
      <c r="B125" s="107" t="s">
        <v>371</v>
      </c>
      <c r="C125" s="416"/>
    </row>
    <row r="126" spans="1:3" ht="12" customHeight="1" x14ac:dyDescent="0.2">
      <c r="A126" s="333" t="s">
        <v>377</v>
      </c>
      <c r="B126" s="107" t="s">
        <v>382</v>
      </c>
      <c r="C126" s="416"/>
    </row>
    <row r="127" spans="1:3" ht="12" customHeight="1" thickBot="1" x14ac:dyDescent="0.25">
      <c r="A127" s="342" t="s">
        <v>378</v>
      </c>
      <c r="B127" s="107" t="s">
        <v>381</v>
      </c>
      <c r="C127" s="415"/>
    </row>
    <row r="128" spans="1:3" ht="12" customHeight="1" thickBot="1" x14ac:dyDescent="0.25">
      <c r="A128" s="31" t="s">
        <v>33</v>
      </c>
      <c r="B128" s="98" t="s">
        <v>573</v>
      </c>
      <c r="C128" s="233">
        <f>+C93+C114</f>
        <v>108190753</v>
      </c>
    </row>
    <row r="129" spans="1:11" ht="12" customHeight="1" thickBot="1" x14ac:dyDescent="0.25">
      <c r="A129" s="31" t="s">
        <v>34</v>
      </c>
      <c r="B129" s="98" t="s">
        <v>574</v>
      </c>
      <c r="C129" s="233">
        <f>+C130+C131+C132</f>
        <v>4444000</v>
      </c>
    </row>
    <row r="130" spans="1:11" s="78" customFormat="1" ht="12" customHeight="1" x14ac:dyDescent="0.2">
      <c r="A130" s="333" t="s">
        <v>276</v>
      </c>
      <c r="B130" s="8" t="s">
        <v>619</v>
      </c>
      <c r="C130" s="411">
        <v>4444000</v>
      </c>
    </row>
    <row r="131" spans="1:11" ht="12" customHeight="1" x14ac:dyDescent="0.2">
      <c r="A131" s="333" t="s">
        <v>279</v>
      </c>
      <c r="B131" s="8" t="s">
        <v>576</v>
      </c>
      <c r="C131" s="217"/>
    </row>
    <row r="132" spans="1:11" ht="12" customHeight="1" thickBot="1" x14ac:dyDescent="0.25">
      <c r="A132" s="342" t="s">
        <v>280</v>
      </c>
      <c r="B132" s="6" t="s">
        <v>620</v>
      </c>
      <c r="C132" s="217"/>
    </row>
    <row r="133" spans="1:11" ht="12" customHeight="1" thickBot="1" x14ac:dyDescent="0.25">
      <c r="A133" s="31" t="s">
        <v>35</v>
      </c>
      <c r="B133" s="98" t="s">
        <v>578</v>
      </c>
      <c r="C133" s="233">
        <f>+C134+C135+C136+C137+C138+C139</f>
        <v>0</v>
      </c>
    </row>
    <row r="134" spans="1:11" ht="12" customHeight="1" x14ac:dyDescent="0.2">
      <c r="A134" s="333" t="s">
        <v>107</v>
      </c>
      <c r="B134" s="8" t="s">
        <v>579</v>
      </c>
      <c r="C134" s="217"/>
    </row>
    <row r="135" spans="1:11" ht="12" customHeight="1" x14ac:dyDescent="0.2">
      <c r="A135" s="333" t="s">
        <v>108</v>
      </c>
      <c r="B135" s="8" t="s">
        <v>580</v>
      </c>
      <c r="C135" s="217"/>
    </row>
    <row r="136" spans="1:11" ht="12" customHeight="1" x14ac:dyDescent="0.2">
      <c r="A136" s="333" t="s">
        <v>109</v>
      </c>
      <c r="B136" s="8" t="s">
        <v>581</v>
      </c>
      <c r="C136" s="217"/>
    </row>
    <row r="137" spans="1:11" ht="12" customHeight="1" x14ac:dyDescent="0.2">
      <c r="A137" s="333" t="s">
        <v>182</v>
      </c>
      <c r="B137" s="8" t="s">
        <v>621</v>
      </c>
      <c r="C137" s="217"/>
    </row>
    <row r="138" spans="1:11" ht="12" customHeight="1" x14ac:dyDescent="0.2">
      <c r="A138" s="333" t="s">
        <v>183</v>
      </c>
      <c r="B138" s="8" t="s">
        <v>583</v>
      </c>
      <c r="C138" s="217"/>
    </row>
    <row r="139" spans="1:11" s="78" customFormat="1" ht="12" customHeight="1" thickBot="1" x14ac:dyDescent="0.25">
      <c r="A139" s="342" t="s">
        <v>184</v>
      </c>
      <c r="B139" s="6" t="s">
        <v>584</v>
      </c>
      <c r="C139" s="217"/>
    </row>
    <row r="140" spans="1:11" ht="12" customHeight="1" thickBot="1" x14ac:dyDescent="0.25">
      <c r="A140" s="31" t="s">
        <v>36</v>
      </c>
      <c r="B140" s="98" t="s">
        <v>622</v>
      </c>
      <c r="C140" s="238">
        <f>+C141+C142+C144+C145+C143</f>
        <v>0</v>
      </c>
      <c r="K140" s="200"/>
    </row>
    <row r="141" spans="1:11" x14ac:dyDescent="0.2">
      <c r="A141" s="333" t="s">
        <v>110</v>
      </c>
      <c r="B141" s="8" t="s">
        <v>386</v>
      </c>
      <c r="C141" s="217"/>
    </row>
    <row r="142" spans="1:11" ht="12" customHeight="1" x14ac:dyDescent="0.2">
      <c r="A142" s="333" t="s">
        <v>111</v>
      </c>
      <c r="B142" s="8" t="s">
        <v>387</v>
      </c>
      <c r="C142" s="217"/>
    </row>
    <row r="143" spans="1:11" s="78" customFormat="1" ht="12" customHeight="1" x14ac:dyDescent="0.2">
      <c r="A143" s="333" t="s">
        <v>300</v>
      </c>
      <c r="B143" s="8" t="s">
        <v>623</v>
      </c>
      <c r="C143" s="217"/>
    </row>
    <row r="144" spans="1:11" s="78" customFormat="1" ht="12" customHeight="1" x14ac:dyDescent="0.2">
      <c r="A144" s="333" t="s">
        <v>301</v>
      </c>
      <c r="B144" s="8" t="s">
        <v>586</v>
      </c>
      <c r="C144" s="217"/>
    </row>
    <row r="145" spans="1:3" s="78" customFormat="1" ht="12" customHeight="1" thickBot="1" x14ac:dyDescent="0.25">
      <c r="A145" s="342" t="s">
        <v>302</v>
      </c>
      <c r="B145" s="6" t="s">
        <v>405</v>
      </c>
      <c r="C145" s="217"/>
    </row>
    <row r="146" spans="1:3" s="78" customFormat="1" ht="12" customHeight="1" thickBot="1" x14ac:dyDescent="0.25">
      <c r="A146" s="31" t="s">
        <v>37</v>
      </c>
      <c r="B146" s="98" t="s">
        <v>587</v>
      </c>
      <c r="C146" s="241">
        <f>+C147+C148+C149+C150+C151</f>
        <v>0</v>
      </c>
    </row>
    <row r="147" spans="1:3" s="78" customFormat="1" ht="12" customHeight="1" x14ac:dyDescent="0.2">
      <c r="A147" s="333" t="s">
        <v>112</v>
      </c>
      <c r="B147" s="8" t="s">
        <v>588</v>
      </c>
      <c r="C147" s="217"/>
    </row>
    <row r="148" spans="1:3" s="78" customFormat="1" ht="12" customHeight="1" x14ac:dyDescent="0.2">
      <c r="A148" s="333" t="s">
        <v>113</v>
      </c>
      <c r="B148" s="8" t="s">
        <v>589</v>
      </c>
      <c r="C148" s="217"/>
    </row>
    <row r="149" spans="1:3" s="78" customFormat="1" ht="12" customHeight="1" x14ac:dyDescent="0.2">
      <c r="A149" s="333" t="s">
        <v>312</v>
      </c>
      <c r="B149" s="8" t="s">
        <v>590</v>
      </c>
      <c r="C149" s="217"/>
    </row>
    <row r="150" spans="1:3" ht="12.75" customHeight="1" x14ac:dyDescent="0.2">
      <c r="A150" s="333" t="s">
        <v>313</v>
      </c>
      <c r="B150" s="8" t="s">
        <v>624</v>
      </c>
      <c r="C150" s="217"/>
    </row>
    <row r="151" spans="1:3" ht="12.75" customHeight="1" thickBot="1" x14ac:dyDescent="0.25">
      <c r="A151" s="342" t="s">
        <v>592</v>
      </c>
      <c r="B151" s="6" t="s">
        <v>593</v>
      </c>
      <c r="C151" s="218"/>
    </row>
    <row r="152" spans="1:3" ht="12.75" customHeight="1" thickBot="1" x14ac:dyDescent="0.25">
      <c r="A152" s="404" t="s">
        <v>38</v>
      </c>
      <c r="B152" s="98" t="s">
        <v>594</v>
      </c>
      <c r="C152" s="241"/>
    </row>
    <row r="153" spans="1:3" ht="12" customHeight="1" thickBot="1" x14ac:dyDescent="0.25">
      <c r="A153" s="404" t="s">
        <v>39</v>
      </c>
      <c r="B153" s="98" t="s">
        <v>595</v>
      </c>
      <c r="C153" s="241"/>
    </row>
    <row r="154" spans="1:3" ht="15" customHeight="1" thickBot="1" x14ac:dyDescent="0.25">
      <c r="A154" s="31" t="s">
        <v>40</v>
      </c>
      <c r="B154" s="98" t="s">
        <v>596</v>
      </c>
      <c r="C154" s="329">
        <f>+C129+C133+C140+C146+C152+C153</f>
        <v>4444000</v>
      </c>
    </row>
    <row r="155" spans="1:3" ht="13.5" thickBot="1" x14ac:dyDescent="0.25">
      <c r="A155" s="344" t="s">
        <v>41</v>
      </c>
      <c r="B155" s="304" t="s">
        <v>597</v>
      </c>
      <c r="C155" s="329">
        <f>+C128+C154</f>
        <v>112634753</v>
      </c>
    </row>
    <row r="156" spans="1:3" ht="15" customHeight="1" thickBot="1" x14ac:dyDescent="0.25"/>
    <row r="157" spans="1:3" ht="14.25" customHeight="1" thickBot="1" x14ac:dyDescent="0.25">
      <c r="A157" s="197" t="s">
        <v>625</v>
      </c>
      <c r="B157" s="198"/>
      <c r="C157" s="96"/>
    </row>
    <row r="158" spans="1:3" ht="13.5" thickBot="1" x14ac:dyDescent="0.25">
      <c r="A158" s="197" t="s">
        <v>212</v>
      </c>
      <c r="B158" s="198"/>
      <c r="C158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9.1.2. melléklet a ../.....(......)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zoomScale="115" zoomScaleNormal="115" workbookViewId="0">
      <selection activeCell="E1" sqref="E1:F1048576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12.6640625" style="683" bestFit="1" customWidth="1"/>
    <col min="4" max="4" width="9.33203125" style="196" customWidth="1"/>
    <col min="5" max="5" width="10" style="789" hidden="1" customWidth="1"/>
    <col min="6" max="6" width="10.5" style="789" hidden="1" customWidth="1"/>
    <col min="7" max="16384" width="9.33203125" style="196"/>
  </cols>
  <sheetData>
    <row r="1" spans="1:6" s="175" customFormat="1" ht="21" customHeight="1" thickBot="1" x14ac:dyDescent="0.25">
      <c r="A1" s="174"/>
      <c r="B1" s="176"/>
      <c r="C1" s="351"/>
      <c r="E1" s="789"/>
      <c r="F1" s="789"/>
    </row>
    <row r="2" spans="1:6" s="352" customFormat="1" ht="36" customHeight="1" x14ac:dyDescent="0.2">
      <c r="A2" s="309" t="s">
        <v>210</v>
      </c>
      <c r="B2" s="282" t="s">
        <v>541</v>
      </c>
      <c r="C2" s="296" t="s">
        <v>74</v>
      </c>
      <c r="E2" s="790"/>
      <c r="F2" s="790"/>
    </row>
    <row r="3" spans="1:6" s="352" customFormat="1" ht="24.75" thickBot="1" x14ac:dyDescent="0.25">
      <c r="A3" s="345" t="s">
        <v>209</v>
      </c>
      <c r="B3" s="283" t="s">
        <v>413</v>
      </c>
      <c r="C3" s="297" t="s">
        <v>67</v>
      </c>
      <c r="E3" s="790"/>
      <c r="F3" s="790"/>
    </row>
    <row r="4" spans="1:6" s="353" customFormat="1" ht="15.95" customHeight="1" thickBot="1" x14ac:dyDescent="0.3">
      <c r="A4" s="178"/>
      <c r="B4" s="178"/>
      <c r="C4" s="179" t="s">
        <v>689</v>
      </c>
      <c r="E4" s="790"/>
      <c r="F4" s="790"/>
    </row>
    <row r="5" spans="1:6" ht="13.5" thickBot="1" x14ac:dyDescent="0.25">
      <c r="A5" s="310" t="s">
        <v>211</v>
      </c>
      <c r="B5" s="180" t="s">
        <v>68</v>
      </c>
      <c r="C5" s="181" t="s">
        <v>69</v>
      </c>
    </row>
    <row r="6" spans="1:6" s="354" customFormat="1" ht="12.95" customHeight="1" thickBot="1" x14ac:dyDescent="0.25">
      <c r="A6" s="145" t="s">
        <v>546</v>
      </c>
      <c r="B6" s="146" t="s">
        <v>547</v>
      </c>
      <c r="C6" s="147" t="s">
        <v>548</v>
      </c>
      <c r="E6" s="791"/>
      <c r="F6" s="791"/>
    </row>
    <row r="7" spans="1:6" s="354" customFormat="1" ht="15.95" customHeight="1" thickBot="1" x14ac:dyDescent="0.25">
      <c r="A7" s="182"/>
      <c r="B7" s="183" t="s">
        <v>70</v>
      </c>
      <c r="C7" s="184"/>
      <c r="E7" s="791"/>
      <c r="F7" s="791"/>
    </row>
    <row r="8" spans="1:6" s="298" customFormat="1" ht="12" customHeight="1" thickBot="1" x14ac:dyDescent="0.25">
      <c r="A8" s="145" t="s">
        <v>31</v>
      </c>
      <c r="B8" s="185" t="s">
        <v>628</v>
      </c>
      <c r="C8" s="247">
        <f>SUM(C9:C19)</f>
        <v>8419440</v>
      </c>
      <c r="E8" s="792">
        <f>'9.2.1. sz. mell'!C8+'9.2.2. sz.  mell'!C8+'9.2.3. sz. mell.'!C8</f>
        <v>8419440</v>
      </c>
      <c r="F8" s="792">
        <f t="shared" ref="F8:F42" si="0">C8-E8</f>
        <v>0</v>
      </c>
    </row>
    <row r="9" spans="1:6" s="298" customFormat="1" ht="12" customHeight="1" x14ac:dyDescent="0.2">
      <c r="A9" s="346" t="s">
        <v>114</v>
      </c>
      <c r="B9" s="9" t="s">
        <v>289</v>
      </c>
      <c r="C9" s="287"/>
      <c r="E9" s="792">
        <f>'9.2.1. sz. mell'!C9+'9.2.2. sz.  mell'!C9+'9.2.3. sz. mell.'!C9</f>
        <v>0</v>
      </c>
      <c r="F9" s="792">
        <f t="shared" si="0"/>
        <v>0</v>
      </c>
    </row>
    <row r="10" spans="1:6" s="298" customFormat="1" ht="12" customHeight="1" x14ac:dyDescent="0.2">
      <c r="A10" s="347" t="s">
        <v>115</v>
      </c>
      <c r="B10" s="7" t="s">
        <v>290</v>
      </c>
      <c r="C10" s="60">
        <v>6228440</v>
      </c>
      <c r="E10" s="792">
        <f>'9.2.1. sz. mell'!C10+'9.2.2. sz.  mell'!C10+'9.2.3. sz. mell.'!C10</f>
        <v>6228440</v>
      </c>
      <c r="F10" s="792">
        <f t="shared" si="0"/>
        <v>0</v>
      </c>
    </row>
    <row r="11" spans="1:6" s="298" customFormat="1" ht="12" customHeight="1" x14ac:dyDescent="0.2">
      <c r="A11" s="347" t="s">
        <v>116</v>
      </c>
      <c r="B11" s="7" t="s">
        <v>291</v>
      </c>
      <c r="C11" s="60">
        <v>300000</v>
      </c>
      <c r="E11" s="792">
        <f>'9.2.1. sz. mell'!C11+'9.2.2. sz.  mell'!C11+'9.2.3. sz. mell.'!C11</f>
        <v>300000</v>
      </c>
      <c r="F11" s="792">
        <f t="shared" si="0"/>
        <v>0</v>
      </c>
    </row>
    <row r="12" spans="1:6" s="298" customFormat="1" ht="12" customHeight="1" x14ac:dyDescent="0.2">
      <c r="A12" s="347" t="s">
        <v>117</v>
      </c>
      <c r="B12" s="7" t="s">
        <v>292</v>
      </c>
      <c r="C12" s="60"/>
      <c r="E12" s="792">
        <f>'9.2.1. sz. mell'!C12+'9.2.2. sz.  mell'!C12+'9.2.3. sz. mell.'!C12</f>
        <v>0</v>
      </c>
      <c r="F12" s="792">
        <f t="shared" si="0"/>
        <v>0</v>
      </c>
    </row>
    <row r="13" spans="1:6" s="298" customFormat="1" ht="12" customHeight="1" x14ac:dyDescent="0.2">
      <c r="A13" s="347" t="s">
        <v>158</v>
      </c>
      <c r="B13" s="7" t="s">
        <v>293</v>
      </c>
      <c r="C13" s="60"/>
      <c r="E13" s="792">
        <f>'9.2.1. sz. mell'!C13+'9.2.2. sz.  mell'!C13+'9.2.3. sz. mell.'!C13</f>
        <v>0</v>
      </c>
      <c r="F13" s="792">
        <f t="shared" si="0"/>
        <v>0</v>
      </c>
    </row>
    <row r="14" spans="1:6" s="298" customFormat="1" ht="12" customHeight="1" x14ac:dyDescent="0.2">
      <c r="A14" s="347" t="s">
        <v>118</v>
      </c>
      <c r="B14" s="7" t="s">
        <v>414</v>
      </c>
      <c r="C14" s="60">
        <v>1791000</v>
      </c>
      <c r="E14" s="792">
        <f>'9.2.1. sz. mell'!C14+'9.2.2. sz.  mell'!C14+'9.2.3. sz. mell.'!C14</f>
        <v>1791000</v>
      </c>
      <c r="F14" s="792">
        <f t="shared" si="0"/>
        <v>0</v>
      </c>
    </row>
    <row r="15" spans="1:6" s="298" customFormat="1" ht="12" customHeight="1" x14ac:dyDescent="0.2">
      <c r="A15" s="347" t="s">
        <v>119</v>
      </c>
      <c r="B15" s="6" t="s">
        <v>415</v>
      </c>
      <c r="C15" s="60"/>
      <c r="E15" s="792">
        <f>'9.2.1. sz. mell'!C15+'9.2.2. sz.  mell'!C15+'9.2.3. sz. mell.'!C15</f>
        <v>0</v>
      </c>
      <c r="F15" s="792">
        <f t="shared" si="0"/>
        <v>0</v>
      </c>
    </row>
    <row r="16" spans="1:6" s="298" customFormat="1" ht="12" customHeight="1" x14ac:dyDescent="0.2">
      <c r="A16" s="347" t="s">
        <v>129</v>
      </c>
      <c r="B16" s="7" t="s">
        <v>296</v>
      </c>
      <c r="C16" s="248"/>
      <c r="E16" s="792">
        <f>'9.2.1. sz. mell'!C16+'9.2.2. sz.  mell'!C16+'9.2.3. sz. mell.'!C16</f>
        <v>0</v>
      </c>
      <c r="F16" s="792">
        <f t="shared" si="0"/>
        <v>0</v>
      </c>
    </row>
    <row r="17" spans="1:6" s="355" customFormat="1" ht="12" customHeight="1" x14ac:dyDescent="0.2">
      <c r="A17" s="347" t="s">
        <v>130</v>
      </c>
      <c r="B17" s="7" t="s">
        <v>297</v>
      </c>
      <c r="C17" s="245"/>
      <c r="E17" s="792">
        <f>'9.2.1. sz. mell'!C17+'9.2.2. sz.  mell'!C17+'9.2.3. sz. mell.'!C17</f>
        <v>0</v>
      </c>
      <c r="F17" s="792">
        <f t="shared" si="0"/>
        <v>0</v>
      </c>
    </row>
    <row r="18" spans="1:6" s="355" customFormat="1" ht="12" customHeight="1" x14ac:dyDescent="0.2">
      <c r="A18" s="347" t="s">
        <v>131</v>
      </c>
      <c r="B18" s="7" t="s">
        <v>555</v>
      </c>
      <c r="C18" s="246"/>
      <c r="E18" s="792">
        <f>'9.2.1. sz. mell'!C18+'9.2.2. sz.  mell'!C18+'9.2.3. sz. mell.'!C18</f>
        <v>0</v>
      </c>
      <c r="F18" s="792">
        <f t="shared" si="0"/>
        <v>0</v>
      </c>
    </row>
    <row r="19" spans="1:6" s="355" customFormat="1" ht="12" customHeight="1" thickBot="1" x14ac:dyDescent="0.25">
      <c r="A19" s="347" t="s">
        <v>132</v>
      </c>
      <c r="B19" s="6" t="s">
        <v>298</v>
      </c>
      <c r="C19" s="246">
        <v>100000</v>
      </c>
      <c r="E19" s="792">
        <f>'9.2.1. sz. mell'!C19+'9.2.2. sz.  mell'!C19+'9.2.3. sz. mell.'!C19</f>
        <v>100000</v>
      </c>
      <c r="F19" s="792">
        <f t="shared" si="0"/>
        <v>0</v>
      </c>
    </row>
    <row r="20" spans="1:6" s="298" customFormat="1" ht="12" customHeight="1" thickBot="1" x14ac:dyDescent="0.25">
      <c r="A20" s="145" t="s">
        <v>32</v>
      </c>
      <c r="B20" s="185" t="s">
        <v>416</v>
      </c>
      <c r="C20" s="247">
        <f>SUM(C21:C23)</f>
        <v>3096237</v>
      </c>
      <c r="E20" s="792">
        <f>'9.2.1. sz. mell'!C20+'9.2.2. sz.  mell'!C20+'9.2.3. sz. mell.'!C20</f>
        <v>3096237</v>
      </c>
      <c r="F20" s="792">
        <f t="shared" si="0"/>
        <v>0</v>
      </c>
    </row>
    <row r="21" spans="1:6" s="355" customFormat="1" ht="12" customHeight="1" x14ac:dyDescent="0.2">
      <c r="A21" s="347" t="s">
        <v>120</v>
      </c>
      <c r="B21" s="8" t="s">
        <v>266</v>
      </c>
      <c r="C21" s="245"/>
      <c r="E21" s="792">
        <f>'9.2.1. sz. mell'!C21+'9.2.2. sz.  mell'!C21+'9.2.3. sz. mell.'!C21</f>
        <v>0</v>
      </c>
      <c r="F21" s="792">
        <f t="shared" si="0"/>
        <v>0</v>
      </c>
    </row>
    <row r="22" spans="1:6" s="355" customFormat="1" ht="12" customHeight="1" x14ac:dyDescent="0.2">
      <c r="A22" s="347" t="s">
        <v>121</v>
      </c>
      <c r="B22" s="7" t="s">
        <v>417</v>
      </c>
      <c r="C22" s="245"/>
      <c r="E22" s="792">
        <f>'9.2.1. sz. mell'!C22+'9.2.2. sz.  mell'!C22+'9.2.3. sz. mell.'!C22</f>
        <v>0</v>
      </c>
      <c r="F22" s="792">
        <f t="shared" si="0"/>
        <v>0</v>
      </c>
    </row>
    <row r="23" spans="1:6" s="355" customFormat="1" ht="12" customHeight="1" x14ac:dyDescent="0.2">
      <c r="A23" s="347" t="s">
        <v>122</v>
      </c>
      <c r="B23" s="7" t="s">
        <v>418</v>
      </c>
      <c r="C23" s="60">
        <v>3096237</v>
      </c>
      <c r="E23" s="792">
        <f>'9.2.1. sz. mell'!C23+'9.2.2. sz.  mell'!C23+'9.2.3. sz. mell.'!C23</f>
        <v>3096237</v>
      </c>
      <c r="F23" s="792">
        <f t="shared" si="0"/>
        <v>0</v>
      </c>
    </row>
    <row r="24" spans="1:6" s="355" customFormat="1" ht="12" customHeight="1" thickBot="1" x14ac:dyDescent="0.25">
      <c r="A24" s="347" t="s">
        <v>123</v>
      </c>
      <c r="B24" s="7" t="s">
        <v>629</v>
      </c>
      <c r="C24" s="245"/>
      <c r="E24" s="792">
        <f>'9.2.1. sz. mell'!C24+'9.2.2. sz.  mell'!C24+'9.2.3. sz. mell.'!C24</f>
        <v>0</v>
      </c>
      <c r="F24" s="792">
        <f t="shared" si="0"/>
        <v>0</v>
      </c>
    </row>
    <row r="25" spans="1:6" s="355" customFormat="1" ht="12" customHeight="1" thickBot="1" x14ac:dyDescent="0.25">
      <c r="A25" s="152" t="s">
        <v>33</v>
      </c>
      <c r="B25" s="98" t="s">
        <v>181</v>
      </c>
      <c r="C25" s="272"/>
      <c r="E25" s="792">
        <f>'9.2.1. sz. mell'!C25+'9.2.2. sz.  mell'!C25+'9.2.3. sz. mell.'!C25</f>
        <v>0</v>
      </c>
      <c r="F25" s="792">
        <f t="shared" si="0"/>
        <v>0</v>
      </c>
    </row>
    <row r="26" spans="1:6" s="355" customFormat="1" ht="12" customHeight="1" thickBot="1" x14ac:dyDescent="0.25">
      <c r="A26" s="152" t="s">
        <v>34</v>
      </c>
      <c r="B26" s="98" t="s">
        <v>630</v>
      </c>
      <c r="C26" s="247">
        <f>+C27+C28+C29</f>
        <v>0</v>
      </c>
      <c r="E26" s="792">
        <f>'9.2.1. sz. mell'!C26+'9.2.2. sz.  mell'!C26+'9.2.3. sz. mell.'!C26</f>
        <v>0</v>
      </c>
      <c r="F26" s="792">
        <f t="shared" si="0"/>
        <v>0</v>
      </c>
    </row>
    <row r="27" spans="1:6" s="355" customFormat="1" ht="12" customHeight="1" x14ac:dyDescent="0.2">
      <c r="A27" s="348" t="s">
        <v>276</v>
      </c>
      <c r="B27" s="349" t="s">
        <v>271</v>
      </c>
      <c r="C27" s="57"/>
      <c r="E27" s="792">
        <f>'9.2.1. sz. mell'!C27+'9.2.2. sz.  mell'!C27+'9.2.3. sz. mell.'!C27</f>
        <v>0</v>
      </c>
      <c r="F27" s="792">
        <f t="shared" si="0"/>
        <v>0</v>
      </c>
    </row>
    <row r="28" spans="1:6" s="355" customFormat="1" ht="12" customHeight="1" x14ac:dyDescent="0.2">
      <c r="A28" s="348" t="s">
        <v>279</v>
      </c>
      <c r="B28" s="349" t="s">
        <v>417</v>
      </c>
      <c r="C28" s="245"/>
      <c r="E28" s="792">
        <f>'9.2.1. sz. mell'!C28+'9.2.2. sz.  mell'!C28+'9.2.3. sz. mell.'!C28</f>
        <v>0</v>
      </c>
      <c r="F28" s="792">
        <f t="shared" si="0"/>
        <v>0</v>
      </c>
    </row>
    <row r="29" spans="1:6" s="355" customFormat="1" ht="12" customHeight="1" x14ac:dyDescent="0.2">
      <c r="A29" s="348" t="s">
        <v>280</v>
      </c>
      <c r="B29" s="350" t="s">
        <v>419</v>
      </c>
      <c r="C29" s="245"/>
      <c r="E29" s="792">
        <f>'9.2.1. sz. mell'!C29+'9.2.2. sz.  mell'!C29+'9.2.3. sz. mell.'!C29</f>
        <v>0</v>
      </c>
      <c r="F29" s="792">
        <f t="shared" si="0"/>
        <v>0</v>
      </c>
    </row>
    <row r="30" spans="1:6" s="355" customFormat="1" ht="12" customHeight="1" thickBot="1" x14ac:dyDescent="0.25">
      <c r="A30" s="347" t="s">
        <v>281</v>
      </c>
      <c r="B30" s="105" t="s">
        <v>631</v>
      </c>
      <c r="C30" s="64"/>
      <c r="E30" s="792">
        <f>'9.2.1. sz. mell'!C30+'9.2.2. sz.  mell'!C30+'9.2.3. sz. mell.'!C30</f>
        <v>0</v>
      </c>
      <c r="F30" s="792">
        <f t="shared" si="0"/>
        <v>0</v>
      </c>
    </row>
    <row r="31" spans="1:6" s="355" customFormat="1" ht="12" customHeight="1" thickBot="1" x14ac:dyDescent="0.25">
      <c r="A31" s="152" t="s">
        <v>35</v>
      </c>
      <c r="B31" s="98" t="s">
        <v>420</v>
      </c>
      <c r="C31" s="247">
        <f>+C32+C33+C34</f>
        <v>0</v>
      </c>
      <c r="E31" s="792">
        <f>'9.2.1. sz. mell'!C31+'9.2.2. sz.  mell'!C31+'9.2.3. sz. mell.'!C31</f>
        <v>0</v>
      </c>
      <c r="F31" s="792">
        <f t="shared" si="0"/>
        <v>0</v>
      </c>
    </row>
    <row r="32" spans="1:6" s="355" customFormat="1" ht="12" customHeight="1" x14ac:dyDescent="0.2">
      <c r="A32" s="348" t="s">
        <v>107</v>
      </c>
      <c r="B32" s="349" t="s">
        <v>303</v>
      </c>
      <c r="C32" s="57"/>
      <c r="E32" s="792">
        <f>'9.2.1. sz. mell'!C32+'9.2.2. sz.  mell'!C32+'9.2.3. sz. mell.'!C32</f>
        <v>0</v>
      </c>
      <c r="F32" s="792">
        <f t="shared" si="0"/>
        <v>0</v>
      </c>
    </row>
    <row r="33" spans="1:6" s="355" customFormat="1" ht="12" customHeight="1" x14ac:dyDescent="0.2">
      <c r="A33" s="348" t="s">
        <v>108</v>
      </c>
      <c r="B33" s="350" t="s">
        <v>304</v>
      </c>
      <c r="C33" s="248"/>
      <c r="E33" s="792">
        <f>'9.2.1. sz. mell'!C33+'9.2.2. sz.  mell'!C33+'9.2.3. sz. mell.'!C33</f>
        <v>0</v>
      </c>
      <c r="F33" s="792">
        <f t="shared" si="0"/>
        <v>0</v>
      </c>
    </row>
    <row r="34" spans="1:6" s="355" customFormat="1" ht="12" customHeight="1" thickBot="1" x14ac:dyDescent="0.25">
      <c r="A34" s="347" t="s">
        <v>109</v>
      </c>
      <c r="B34" s="105" t="s">
        <v>305</v>
      </c>
      <c r="C34" s="64"/>
      <c r="E34" s="792">
        <f>'9.2.1. sz. mell'!C34+'9.2.2. sz.  mell'!C34+'9.2.3. sz. mell.'!C34</f>
        <v>0</v>
      </c>
      <c r="F34" s="792">
        <f t="shared" si="0"/>
        <v>0</v>
      </c>
    </row>
    <row r="35" spans="1:6" s="298" customFormat="1" ht="12" customHeight="1" thickBot="1" x14ac:dyDescent="0.25">
      <c r="A35" s="152" t="s">
        <v>36</v>
      </c>
      <c r="B35" s="98" t="s">
        <v>391</v>
      </c>
      <c r="C35" s="272"/>
      <c r="E35" s="792">
        <f>'9.2.1. sz. mell'!C35+'9.2.2. sz.  mell'!C35+'9.2.3. sz. mell.'!C35</f>
        <v>0</v>
      </c>
      <c r="F35" s="792">
        <f t="shared" si="0"/>
        <v>0</v>
      </c>
    </row>
    <row r="36" spans="1:6" s="298" customFormat="1" ht="12" customHeight="1" thickBot="1" x14ac:dyDescent="0.25">
      <c r="A36" s="152" t="s">
        <v>37</v>
      </c>
      <c r="B36" s="98" t="s">
        <v>421</v>
      </c>
      <c r="C36" s="289"/>
      <c r="E36" s="792">
        <f>'9.2.1. sz. mell'!C36+'9.2.2. sz.  mell'!C36+'9.2.3. sz. mell.'!C36</f>
        <v>0</v>
      </c>
      <c r="F36" s="792">
        <f t="shared" si="0"/>
        <v>0</v>
      </c>
    </row>
    <row r="37" spans="1:6" s="298" customFormat="1" ht="12" customHeight="1" thickBot="1" x14ac:dyDescent="0.25">
      <c r="A37" s="145" t="s">
        <v>38</v>
      </c>
      <c r="B37" s="98" t="s">
        <v>422</v>
      </c>
      <c r="C37" s="290">
        <f>+C8+C20+C25+C26+C31+C35+C36</f>
        <v>11515677</v>
      </c>
      <c r="E37" s="792">
        <f>'9.2.1. sz. mell'!C37+'9.2.2. sz.  mell'!C37+'9.2.3. sz. mell.'!C37</f>
        <v>11515677</v>
      </c>
      <c r="F37" s="792">
        <f t="shared" si="0"/>
        <v>0</v>
      </c>
    </row>
    <row r="38" spans="1:6" s="298" customFormat="1" ht="12" customHeight="1" thickBot="1" x14ac:dyDescent="0.25">
      <c r="A38" s="186" t="s">
        <v>39</v>
      </c>
      <c r="B38" s="98" t="s">
        <v>423</v>
      </c>
      <c r="C38" s="290">
        <f>+C39+C40+C41</f>
        <v>232752098</v>
      </c>
      <c r="E38" s="792">
        <f>'9.2.1. sz. mell'!C38+'9.2.2. sz.  mell'!C38+'9.2.3. sz. mell.'!C38</f>
        <v>232752098</v>
      </c>
      <c r="F38" s="792">
        <f t="shared" si="0"/>
        <v>0</v>
      </c>
    </row>
    <row r="39" spans="1:6" s="298" customFormat="1" ht="12" customHeight="1" x14ac:dyDescent="0.2">
      <c r="A39" s="348" t="s">
        <v>424</v>
      </c>
      <c r="B39" s="349" t="s">
        <v>245</v>
      </c>
      <c r="C39" s="57">
        <v>3148853</v>
      </c>
      <c r="E39" s="792">
        <f>'9.2.1. sz. mell'!C39+'9.2.2. sz.  mell'!C39+'9.2.3. sz. mell.'!C39</f>
        <v>3148853</v>
      </c>
      <c r="F39" s="792">
        <f t="shared" si="0"/>
        <v>0</v>
      </c>
    </row>
    <row r="40" spans="1:6" s="298" customFormat="1" ht="12" customHeight="1" x14ac:dyDescent="0.2">
      <c r="A40" s="348" t="s">
        <v>425</v>
      </c>
      <c r="B40" s="350" t="s">
        <v>15</v>
      </c>
      <c r="C40" s="248"/>
      <c r="E40" s="792">
        <f>'9.2.1. sz. mell'!C40+'9.2.2. sz.  mell'!C40+'9.2.3. sz. mell.'!C40</f>
        <v>0</v>
      </c>
      <c r="F40" s="792">
        <f t="shared" si="0"/>
        <v>0</v>
      </c>
    </row>
    <row r="41" spans="1:6" s="355" customFormat="1" ht="12" customHeight="1" thickBot="1" x14ac:dyDescent="0.25">
      <c r="A41" s="347" t="s">
        <v>426</v>
      </c>
      <c r="B41" s="105" t="s">
        <v>427</v>
      </c>
      <c r="C41" s="64">
        <v>229603245</v>
      </c>
      <c r="E41" s="792">
        <f>'9.2.1. sz. mell'!C41+'9.2.2. sz.  mell'!C41+'9.2.3. sz. mell.'!C41</f>
        <v>229603245</v>
      </c>
      <c r="F41" s="792">
        <f t="shared" si="0"/>
        <v>0</v>
      </c>
    </row>
    <row r="42" spans="1:6" s="355" customFormat="1" ht="15" customHeight="1" thickBot="1" x14ac:dyDescent="0.25">
      <c r="A42" s="186" t="s">
        <v>40</v>
      </c>
      <c r="B42" s="187" t="s">
        <v>428</v>
      </c>
      <c r="C42" s="293">
        <f>+C37+C38</f>
        <v>244267775</v>
      </c>
      <c r="E42" s="792">
        <f>'9.2.1. sz. mell'!C42+'9.2.2. sz.  mell'!C42+'9.2.3. sz. mell.'!C42</f>
        <v>244267775</v>
      </c>
      <c r="F42" s="792">
        <f t="shared" si="0"/>
        <v>0</v>
      </c>
    </row>
    <row r="43" spans="1:6" s="355" customFormat="1" ht="15" customHeight="1" x14ac:dyDescent="0.2">
      <c r="A43" s="188"/>
      <c r="B43" s="189"/>
      <c r="C43" s="291"/>
      <c r="E43" s="792">
        <f>'9.2.1. sz. mell'!C43+'9.2.2. sz.  mell'!C43+'9.2.3. sz. mell.'!C43</f>
        <v>0</v>
      </c>
      <c r="F43" s="789"/>
    </row>
    <row r="44" spans="1:6" ht="13.5" thickBot="1" x14ac:dyDescent="0.25">
      <c r="A44" s="190"/>
      <c r="B44" s="191"/>
      <c r="C44" s="292"/>
      <c r="E44" s="792">
        <f>'9.2.1. sz. mell'!C44+'9.2.2. sz.  mell'!C44+'9.2.3. sz. mell.'!C44</f>
        <v>0</v>
      </c>
    </row>
    <row r="45" spans="1:6" s="354" customFormat="1" ht="16.5" customHeight="1" thickBot="1" x14ac:dyDescent="0.25">
      <c r="A45" s="192"/>
      <c r="B45" s="193" t="s">
        <v>71</v>
      </c>
      <c r="C45" s="293"/>
      <c r="E45" s="792">
        <f>'9.2.1. sz. mell'!C45+'9.2.2. sz.  mell'!C45+'9.2.3. sz. mell.'!C45</f>
        <v>0</v>
      </c>
      <c r="F45" s="791"/>
    </row>
    <row r="46" spans="1:6" s="356" customFormat="1" ht="12" customHeight="1" thickBot="1" x14ac:dyDescent="0.25">
      <c r="A46" s="152" t="s">
        <v>31</v>
      </c>
      <c r="B46" s="98" t="s">
        <v>429</v>
      </c>
      <c r="C46" s="247">
        <f>SUM(C47:C51)</f>
        <v>239347795</v>
      </c>
      <c r="E46" s="792">
        <f>'9.2.1. sz. mell'!C46+'9.2.2. sz.  mell'!C46+'9.2.3. sz. mell.'!C46</f>
        <v>239347795</v>
      </c>
      <c r="F46" s="792">
        <f t="shared" ref="F46:F58" si="1">C46-E46</f>
        <v>0</v>
      </c>
    </row>
    <row r="47" spans="1:6" ht="12" customHeight="1" x14ac:dyDescent="0.2">
      <c r="A47" s="347" t="s">
        <v>114</v>
      </c>
      <c r="B47" s="8" t="s">
        <v>62</v>
      </c>
      <c r="C47" s="57">
        <v>139878591</v>
      </c>
      <c r="E47" s="792">
        <f>'9.2.1. sz. mell'!C47+'9.2.2. sz.  mell'!C47+'9.2.3. sz. mell.'!C47</f>
        <v>139878591</v>
      </c>
      <c r="F47" s="792">
        <f t="shared" si="1"/>
        <v>0</v>
      </c>
    </row>
    <row r="48" spans="1:6" ht="12" customHeight="1" x14ac:dyDescent="0.2">
      <c r="A48" s="347" t="s">
        <v>115</v>
      </c>
      <c r="B48" s="7" t="s">
        <v>190</v>
      </c>
      <c r="C48" s="60">
        <v>29776525</v>
      </c>
      <c r="E48" s="792">
        <f>'9.2.1. sz. mell'!C48+'9.2.2. sz.  mell'!C48+'9.2.3. sz. mell.'!C48</f>
        <v>29776525</v>
      </c>
      <c r="F48" s="792">
        <f t="shared" si="1"/>
        <v>0</v>
      </c>
    </row>
    <row r="49" spans="1:10" ht="12" customHeight="1" x14ac:dyDescent="0.2">
      <c r="A49" s="347" t="s">
        <v>116</v>
      </c>
      <c r="B49" s="7" t="s">
        <v>151</v>
      </c>
      <c r="C49" s="60">
        <v>45442679</v>
      </c>
      <c r="E49" s="792">
        <f>'9.2.1. sz. mell'!C49+'9.2.2. sz.  mell'!C49+'9.2.3. sz. mell.'!C49</f>
        <v>45442679</v>
      </c>
      <c r="F49" s="792">
        <f t="shared" si="1"/>
        <v>0</v>
      </c>
    </row>
    <row r="50" spans="1:10" ht="12" customHeight="1" x14ac:dyDescent="0.2">
      <c r="A50" s="347" t="s">
        <v>117</v>
      </c>
      <c r="B50" s="7" t="s">
        <v>191</v>
      </c>
      <c r="C50" s="60">
        <v>24250000</v>
      </c>
      <c r="E50" s="792">
        <f>'9.2.1. sz. mell'!C50+'9.2.2. sz.  mell'!C50+'9.2.3. sz. mell.'!C50</f>
        <v>24250000</v>
      </c>
      <c r="F50" s="792">
        <f t="shared" si="1"/>
        <v>0</v>
      </c>
    </row>
    <row r="51" spans="1:10" ht="12" customHeight="1" thickBot="1" x14ac:dyDescent="0.25">
      <c r="A51" s="347" t="s">
        <v>158</v>
      </c>
      <c r="B51" s="7" t="s">
        <v>192</v>
      </c>
      <c r="C51" s="60"/>
      <c r="E51" s="792">
        <f>'9.2.1. sz. mell'!C51+'9.2.2. sz.  mell'!C51+'9.2.3. sz. mell.'!C51</f>
        <v>0</v>
      </c>
      <c r="F51" s="792">
        <f t="shared" si="1"/>
        <v>0</v>
      </c>
    </row>
    <row r="52" spans="1:10" ht="12" customHeight="1" thickBot="1" x14ac:dyDescent="0.25">
      <c r="A52" s="152" t="s">
        <v>32</v>
      </c>
      <c r="B52" s="98" t="s">
        <v>430</v>
      </c>
      <c r="C52" s="247">
        <f>SUM(C53:C55)</f>
        <v>4919980</v>
      </c>
      <c r="E52" s="792">
        <f>'9.2.1. sz. mell'!C52+'9.2.2. sz.  mell'!C52+'9.2.3. sz. mell.'!C52</f>
        <v>4919980</v>
      </c>
      <c r="F52" s="792">
        <f t="shared" si="1"/>
        <v>0</v>
      </c>
    </row>
    <row r="53" spans="1:10" s="356" customFormat="1" ht="12" customHeight="1" x14ac:dyDescent="0.2">
      <c r="A53" s="347" t="s">
        <v>120</v>
      </c>
      <c r="B53" s="8" t="s">
        <v>236</v>
      </c>
      <c r="C53" s="57">
        <v>4919980</v>
      </c>
      <c r="E53" s="792">
        <f>'9.2.1. sz. mell'!C53+'9.2.2. sz.  mell'!C53+'9.2.3. sz. mell.'!C53</f>
        <v>4919980</v>
      </c>
      <c r="F53" s="792">
        <f t="shared" si="1"/>
        <v>0</v>
      </c>
    </row>
    <row r="54" spans="1:10" ht="12" customHeight="1" x14ac:dyDescent="0.2">
      <c r="A54" s="347" t="s">
        <v>121</v>
      </c>
      <c r="B54" s="7" t="s">
        <v>194</v>
      </c>
      <c r="C54" s="60"/>
      <c r="E54" s="792">
        <f>'9.2.1. sz. mell'!C54+'9.2.2. sz.  mell'!C54+'9.2.3. sz. mell.'!C54</f>
        <v>0</v>
      </c>
      <c r="F54" s="792">
        <f t="shared" si="1"/>
        <v>0</v>
      </c>
    </row>
    <row r="55" spans="1:10" ht="12" customHeight="1" x14ac:dyDescent="0.2">
      <c r="A55" s="347" t="s">
        <v>122</v>
      </c>
      <c r="B55" s="7" t="s">
        <v>72</v>
      </c>
      <c r="C55" s="60"/>
      <c r="E55" s="792">
        <f>'9.2.1. sz. mell'!C55+'9.2.2. sz.  mell'!C55+'9.2.3. sz. mell.'!C55</f>
        <v>0</v>
      </c>
      <c r="F55" s="792">
        <f t="shared" si="1"/>
        <v>0</v>
      </c>
    </row>
    <row r="56" spans="1:10" ht="12" customHeight="1" thickBot="1" x14ac:dyDescent="0.25">
      <c r="A56" s="347" t="s">
        <v>123</v>
      </c>
      <c r="B56" s="7" t="s">
        <v>632</v>
      </c>
      <c r="C56" s="60"/>
      <c r="E56" s="792">
        <f>'9.2.1. sz. mell'!C56+'9.2.2. sz.  mell'!C56+'9.2.3. sz. mell.'!C56</f>
        <v>0</v>
      </c>
      <c r="F56" s="792">
        <f t="shared" si="1"/>
        <v>0</v>
      </c>
    </row>
    <row r="57" spans="1:10" ht="12" customHeight="1" thickBot="1" x14ac:dyDescent="0.25">
      <c r="A57" s="152" t="s">
        <v>33</v>
      </c>
      <c r="B57" s="98" t="s">
        <v>25</v>
      </c>
      <c r="C57" s="272"/>
      <c r="E57" s="792">
        <f>'9.2.1. sz. mell'!C57+'9.2.2. sz.  mell'!C57+'9.2.3. sz. mell.'!C57</f>
        <v>0</v>
      </c>
      <c r="F57" s="792">
        <f t="shared" si="1"/>
        <v>0</v>
      </c>
    </row>
    <row r="58" spans="1:10" ht="15" customHeight="1" thickBot="1" x14ac:dyDescent="0.25">
      <c r="A58" s="152" t="s">
        <v>34</v>
      </c>
      <c r="B58" s="194" t="s">
        <v>633</v>
      </c>
      <c r="C58" s="294">
        <f>+C46+C52+C57</f>
        <v>244267775</v>
      </c>
      <c r="E58" s="792">
        <f>'9.2.1. sz. mell'!C58+'9.2.2. sz.  mell'!C58+'9.2.3. sz. mell.'!C58</f>
        <v>244267775</v>
      </c>
      <c r="F58" s="792">
        <f t="shared" si="1"/>
        <v>0</v>
      </c>
    </row>
    <row r="59" spans="1:10" ht="13.5" thickBot="1" x14ac:dyDescent="0.25">
      <c r="C59" s="682"/>
      <c r="E59" s="792">
        <f>'9.2.1. sz. mell'!C59+'9.2.2. sz.  mell'!C59+'9.2.3. sz. mell.'!C59</f>
        <v>0</v>
      </c>
      <c r="F59" s="793"/>
    </row>
    <row r="60" spans="1:10" ht="15" customHeight="1" thickBot="1" x14ac:dyDescent="0.25">
      <c r="A60" s="197" t="s">
        <v>625</v>
      </c>
      <c r="B60" s="198"/>
      <c r="C60" s="794">
        <v>46</v>
      </c>
      <c r="E60" s="792">
        <f>'9.2.1. sz. mell'!C60+'9.2.2. sz.  mell'!C60+'9.2.3. sz. mell.'!C60</f>
        <v>46</v>
      </c>
      <c r="F60" s="792">
        <f>C60-E60</f>
        <v>0</v>
      </c>
    </row>
    <row r="61" spans="1:10" ht="14.25" customHeight="1" thickBot="1" x14ac:dyDescent="0.25">
      <c r="A61" s="197" t="s">
        <v>212</v>
      </c>
      <c r="B61" s="198"/>
      <c r="C61" s="96"/>
      <c r="E61" s="792">
        <f>'9.2.1. sz. mell'!C61+'9.2.2. sz.  mell'!C61+'9.2.3. sz. mell.'!C61</f>
        <v>0</v>
      </c>
      <c r="F61" s="792">
        <f>C61-E61</f>
        <v>0</v>
      </c>
    </row>
    <row r="62" spans="1:10" x14ac:dyDescent="0.2">
      <c r="J62" s="942"/>
    </row>
    <row r="66" spans="4:4" x14ac:dyDescent="0.2">
      <c r="D66" s="94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&amp;R9.2. melléklet a ../......(.......) önkormányzati rendelethez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G3" sqref="G3"/>
    </sheetView>
  </sheetViews>
  <sheetFormatPr defaultRowHeight="15.75" x14ac:dyDescent="0.25"/>
  <cols>
    <col min="1" max="1" width="9.5" style="305" customWidth="1"/>
    <col min="2" max="2" width="79" style="305" customWidth="1"/>
    <col min="3" max="3" width="21.6640625" style="556" customWidth="1"/>
    <col min="4" max="4" width="19.33203125" style="316" hidden="1" customWidth="1"/>
    <col min="5" max="5" width="15.83203125" style="316" hidden="1" customWidth="1"/>
    <col min="6" max="6" width="21.83203125" style="316" hidden="1" customWidth="1"/>
    <col min="7" max="16384" width="9.33203125" style="316"/>
  </cols>
  <sheetData>
    <row r="1" spans="1:6" ht="15.95" customHeight="1" x14ac:dyDescent="0.25">
      <c r="A1" s="1171" t="s">
        <v>28</v>
      </c>
      <c r="B1" s="1171"/>
      <c r="C1" s="1171"/>
    </row>
    <row r="2" spans="1:6" ht="15.95" customHeight="1" thickBot="1" x14ac:dyDescent="0.3">
      <c r="A2" s="1170" t="s">
        <v>161</v>
      </c>
      <c r="B2" s="1170"/>
      <c r="C2" s="242" t="s">
        <v>688</v>
      </c>
    </row>
    <row r="3" spans="1:6" ht="38.1" customHeight="1" thickBot="1" x14ac:dyDescent="0.3">
      <c r="A3" s="22" t="s">
        <v>84</v>
      </c>
      <c r="B3" s="23" t="s">
        <v>30</v>
      </c>
      <c r="C3" s="37" t="s">
        <v>729</v>
      </c>
      <c r="D3" s="305" t="s">
        <v>699</v>
      </c>
      <c r="E3" s="305" t="s">
        <v>700</v>
      </c>
      <c r="F3" s="305" t="s">
        <v>701</v>
      </c>
    </row>
    <row r="4" spans="1:6" s="317" customFormat="1" ht="12" customHeight="1" thickBot="1" x14ac:dyDescent="0.25">
      <c r="A4" s="311" t="s">
        <v>546</v>
      </c>
      <c r="B4" s="312" t="s">
        <v>547</v>
      </c>
      <c r="C4" s="313" t="s">
        <v>548</v>
      </c>
    </row>
    <row r="5" spans="1:6" s="318" customFormat="1" ht="12" customHeight="1" thickBot="1" x14ac:dyDescent="0.25">
      <c r="A5" s="19" t="s">
        <v>31</v>
      </c>
      <c r="B5" s="20" t="s">
        <v>260</v>
      </c>
      <c r="C5" s="233">
        <f t="shared" ref="C5:C68" si="0">SUM(D5:F5)</f>
        <v>1121752655</v>
      </c>
      <c r="D5" s="443">
        <f>+D6+D7+D8+D9+D10+D11</f>
        <v>1121752655</v>
      </c>
      <c r="E5" s="233">
        <f>+E6+E7+E8+E9+E10+E11</f>
        <v>0</v>
      </c>
      <c r="F5" s="233">
        <f>+F6+F7+F8+F9+F10+F11</f>
        <v>0</v>
      </c>
    </row>
    <row r="6" spans="1:6" s="318" customFormat="1" ht="12" customHeight="1" x14ac:dyDescent="0.2">
      <c r="A6" s="14" t="s">
        <v>114</v>
      </c>
      <c r="B6" s="319" t="s">
        <v>261</v>
      </c>
      <c r="C6" s="545">
        <f t="shared" si="0"/>
        <v>227855923</v>
      </c>
      <c r="D6" s="451">
        <v>227855923</v>
      </c>
      <c r="E6" s="357"/>
      <c r="F6" s="357"/>
    </row>
    <row r="7" spans="1:6" s="318" customFormat="1" ht="12" customHeight="1" x14ac:dyDescent="0.2">
      <c r="A7" s="13" t="s">
        <v>115</v>
      </c>
      <c r="B7" s="320" t="s">
        <v>262</v>
      </c>
      <c r="C7" s="546">
        <f t="shared" si="0"/>
        <v>224734134</v>
      </c>
      <c r="D7" s="411">
        <v>224734134</v>
      </c>
      <c r="E7" s="237"/>
      <c r="F7" s="237"/>
    </row>
    <row r="8" spans="1:6" s="318" customFormat="1" ht="12" customHeight="1" x14ac:dyDescent="0.2">
      <c r="A8" s="13" t="s">
        <v>116</v>
      </c>
      <c r="B8" s="320" t="s">
        <v>666</v>
      </c>
      <c r="C8" s="546">
        <f t="shared" si="0"/>
        <v>446554345</v>
      </c>
      <c r="D8" s="411">
        <f>126991000+65060600+192410145+62092600</f>
        <v>446554345</v>
      </c>
      <c r="E8" s="237"/>
      <c r="F8" s="237"/>
    </row>
    <row r="9" spans="1:6" s="318" customFormat="1" ht="12" customHeight="1" x14ac:dyDescent="0.2">
      <c r="A9" s="13" t="s">
        <v>117</v>
      </c>
      <c r="B9" s="320" t="s">
        <v>264</v>
      </c>
      <c r="C9" s="546">
        <f t="shared" si="0"/>
        <v>16122040</v>
      </c>
      <c r="D9" s="411">
        <v>16122040</v>
      </c>
      <c r="E9" s="237"/>
      <c r="F9" s="237"/>
    </row>
    <row r="10" spans="1:6" s="318" customFormat="1" ht="12" customHeight="1" x14ac:dyDescent="0.2">
      <c r="A10" s="13" t="s">
        <v>158</v>
      </c>
      <c r="B10" s="229" t="s">
        <v>549</v>
      </c>
      <c r="C10" s="546">
        <f t="shared" si="0"/>
        <v>206486213</v>
      </c>
      <c r="D10" s="411">
        <f>16254886+190231327</f>
        <v>206486213</v>
      </c>
      <c r="E10" s="237"/>
      <c r="F10" s="237"/>
    </row>
    <row r="11" spans="1:6" s="318" customFormat="1" ht="12" customHeight="1" thickBot="1" x14ac:dyDescent="0.25">
      <c r="A11" s="15" t="s">
        <v>118</v>
      </c>
      <c r="B11" s="230" t="s">
        <v>550</v>
      </c>
      <c r="C11" s="547">
        <f t="shared" si="0"/>
        <v>0</v>
      </c>
      <c r="D11" s="217"/>
      <c r="E11" s="234"/>
      <c r="F11" s="234"/>
    </row>
    <row r="12" spans="1:6" s="318" customFormat="1" ht="12" customHeight="1" thickBot="1" x14ac:dyDescent="0.25">
      <c r="A12" s="19" t="s">
        <v>32</v>
      </c>
      <c r="B12" s="228" t="s">
        <v>265</v>
      </c>
      <c r="C12" s="233">
        <f t="shared" si="0"/>
        <v>31666237</v>
      </c>
      <c r="D12" s="443">
        <f>+D13+D14+D15+D16+D17</f>
        <v>28570000</v>
      </c>
      <c r="E12" s="233">
        <f>+E13+E14+E15+E16+E17</f>
        <v>3096237</v>
      </c>
      <c r="F12" s="233">
        <f>+F13+F14+F15+F16+F17</f>
        <v>0</v>
      </c>
    </row>
    <row r="13" spans="1:6" s="318" customFormat="1" ht="12" customHeight="1" x14ac:dyDescent="0.2">
      <c r="A13" s="14" t="s">
        <v>120</v>
      </c>
      <c r="B13" s="319" t="s">
        <v>266</v>
      </c>
      <c r="C13" s="314">
        <f t="shared" si="0"/>
        <v>0</v>
      </c>
      <c r="D13" s="446"/>
      <c r="E13" s="235"/>
      <c r="F13" s="235"/>
    </row>
    <row r="14" spans="1:6" s="318" customFormat="1" ht="12" customHeight="1" x14ac:dyDescent="0.2">
      <c r="A14" s="13" t="s">
        <v>121</v>
      </c>
      <c r="B14" s="320" t="s">
        <v>267</v>
      </c>
      <c r="C14" s="552">
        <f t="shared" si="0"/>
        <v>0</v>
      </c>
      <c r="D14" s="217"/>
      <c r="E14" s="234"/>
      <c r="F14" s="234"/>
    </row>
    <row r="15" spans="1:6" s="318" customFormat="1" ht="12" customHeight="1" x14ac:dyDescent="0.2">
      <c r="A15" s="13" t="s">
        <v>122</v>
      </c>
      <c r="B15" s="320" t="s">
        <v>436</v>
      </c>
      <c r="C15" s="546">
        <f t="shared" si="0"/>
        <v>0</v>
      </c>
      <c r="D15" s="217"/>
      <c r="E15" s="234"/>
      <c r="F15" s="234"/>
    </row>
    <row r="16" spans="1:6" s="318" customFormat="1" ht="12" customHeight="1" x14ac:dyDescent="0.2">
      <c r="A16" s="13" t="s">
        <v>123</v>
      </c>
      <c r="B16" s="320" t="s">
        <v>437</v>
      </c>
      <c r="C16" s="546">
        <f t="shared" si="0"/>
        <v>0</v>
      </c>
      <c r="D16" s="217"/>
      <c r="E16" s="234"/>
      <c r="F16" s="234"/>
    </row>
    <row r="17" spans="1:6" s="318" customFormat="1" ht="12" customHeight="1" x14ac:dyDescent="0.2">
      <c r="A17" s="13" t="s">
        <v>124</v>
      </c>
      <c r="B17" s="320" t="s">
        <v>268</v>
      </c>
      <c r="C17" s="546">
        <f t="shared" si="0"/>
        <v>31666237</v>
      </c>
      <c r="D17" s="411">
        <f>4320000+24250000</f>
        <v>28570000</v>
      </c>
      <c r="E17" s="413">
        <v>3096237</v>
      </c>
      <c r="F17" s="237"/>
    </row>
    <row r="18" spans="1:6" s="318" customFormat="1" ht="12" customHeight="1" thickBot="1" x14ac:dyDescent="0.25">
      <c r="A18" s="15" t="s">
        <v>133</v>
      </c>
      <c r="B18" s="230" t="s">
        <v>269</v>
      </c>
      <c r="C18" s="547">
        <f t="shared" si="0"/>
        <v>0</v>
      </c>
      <c r="D18" s="218"/>
      <c r="E18" s="308"/>
      <c r="F18" s="308"/>
    </row>
    <row r="19" spans="1:6" s="318" customFormat="1" ht="12" customHeight="1" thickBot="1" x14ac:dyDescent="0.25">
      <c r="A19" s="19" t="s">
        <v>33</v>
      </c>
      <c r="B19" s="20" t="s">
        <v>270</v>
      </c>
      <c r="C19" s="233">
        <f t="shared" si="0"/>
        <v>13442271</v>
      </c>
      <c r="D19" s="443">
        <f>+D20+D21+D22+D23+D24</f>
        <v>13442271</v>
      </c>
      <c r="E19" s="233">
        <f>+E20+E21+E22+E23+E24</f>
        <v>0</v>
      </c>
      <c r="F19" s="233">
        <f>+F20+F21+F22+F23+F24</f>
        <v>0</v>
      </c>
    </row>
    <row r="20" spans="1:6" s="318" customFormat="1" ht="12" customHeight="1" x14ac:dyDescent="0.2">
      <c r="A20" s="14" t="s">
        <v>103</v>
      </c>
      <c r="B20" s="319" t="s">
        <v>271</v>
      </c>
      <c r="C20" s="314">
        <f t="shared" si="0"/>
        <v>0</v>
      </c>
      <c r="D20" s="451"/>
      <c r="E20" s="410"/>
      <c r="F20" s="410"/>
    </row>
    <row r="21" spans="1:6" s="318" customFormat="1" ht="12" customHeight="1" x14ac:dyDescent="0.2">
      <c r="A21" s="13" t="s">
        <v>104</v>
      </c>
      <c r="B21" s="320" t="s">
        <v>272</v>
      </c>
      <c r="C21" s="552">
        <f t="shared" si="0"/>
        <v>0</v>
      </c>
      <c r="D21" s="411"/>
      <c r="E21" s="237"/>
      <c r="F21" s="237"/>
    </row>
    <row r="22" spans="1:6" s="318" customFormat="1" ht="12" customHeight="1" x14ac:dyDescent="0.2">
      <c r="A22" s="13" t="s">
        <v>105</v>
      </c>
      <c r="B22" s="320" t="s">
        <v>438</v>
      </c>
      <c r="C22" s="552">
        <f t="shared" si="0"/>
        <v>0</v>
      </c>
      <c r="D22" s="411"/>
      <c r="E22" s="237"/>
      <c r="F22" s="237"/>
    </row>
    <row r="23" spans="1:6" s="318" customFormat="1" ht="12" customHeight="1" x14ac:dyDescent="0.2">
      <c r="A23" s="13" t="s">
        <v>106</v>
      </c>
      <c r="B23" s="320" t="s">
        <v>439</v>
      </c>
      <c r="C23" s="552">
        <f t="shared" si="0"/>
        <v>0</v>
      </c>
      <c r="D23" s="411"/>
      <c r="E23" s="237"/>
      <c r="F23" s="237"/>
    </row>
    <row r="24" spans="1:6" s="318" customFormat="1" ht="12" customHeight="1" x14ac:dyDescent="0.2">
      <c r="A24" s="13" t="s">
        <v>178</v>
      </c>
      <c r="B24" s="320" t="s">
        <v>273</v>
      </c>
      <c r="C24" s="546">
        <f t="shared" si="0"/>
        <v>13442271</v>
      </c>
      <c r="D24" s="411">
        <f>5866130+3779393+3796748</f>
        <v>13442271</v>
      </c>
      <c r="E24" s="237"/>
      <c r="F24" s="237"/>
    </row>
    <row r="25" spans="1:6" s="318" customFormat="1" ht="12" customHeight="1" thickBot="1" x14ac:dyDescent="0.25">
      <c r="A25" s="15" t="s">
        <v>179</v>
      </c>
      <c r="B25" s="321" t="s">
        <v>274</v>
      </c>
      <c r="C25" s="553">
        <f t="shared" si="0"/>
        <v>13442271</v>
      </c>
      <c r="D25" s="415">
        <f>9645523+3796748</f>
        <v>13442271</v>
      </c>
      <c r="E25" s="308"/>
      <c r="F25" s="236"/>
    </row>
    <row r="26" spans="1:6" s="318" customFormat="1" ht="12" customHeight="1" thickBot="1" x14ac:dyDescent="0.25">
      <c r="A26" s="19" t="s">
        <v>180</v>
      </c>
      <c r="B26" s="20" t="s">
        <v>275</v>
      </c>
      <c r="C26" s="233">
        <f t="shared" si="0"/>
        <v>352658000</v>
      </c>
      <c r="D26" s="448">
        <f>+D27+D31+D32+D33</f>
        <v>352658000</v>
      </c>
      <c r="E26" s="238">
        <f>+E27+E31+E32+E33</f>
        <v>0</v>
      </c>
      <c r="F26" s="238">
        <f>+F27+F31+F32+F33</f>
        <v>0</v>
      </c>
    </row>
    <row r="27" spans="1:6" s="318" customFormat="1" ht="12" customHeight="1" x14ac:dyDescent="0.2">
      <c r="A27" s="14" t="s">
        <v>276</v>
      </c>
      <c r="B27" s="319" t="s">
        <v>551</v>
      </c>
      <c r="C27" s="314">
        <f t="shared" si="0"/>
        <v>308654000</v>
      </c>
      <c r="D27" s="527">
        <f>SUM(D28:D30)</f>
        <v>308654000</v>
      </c>
      <c r="E27" s="314"/>
      <c r="F27" s="314"/>
    </row>
    <row r="28" spans="1:6" s="318" customFormat="1" ht="12" customHeight="1" x14ac:dyDescent="0.2">
      <c r="A28" s="13" t="s">
        <v>277</v>
      </c>
      <c r="B28" s="320" t="s">
        <v>282</v>
      </c>
      <c r="C28" s="552">
        <f t="shared" si="0"/>
        <v>77500000</v>
      </c>
      <c r="D28" s="217">
        <v>77500000</v>
      </c>
      <c r="E28" s="234"/>
      <c r="F28" s="234"/>
    </row>
    <row r="29" spans="1:6" s="318" customFormat="1" ht="12" customHeight="1" x14ac:dyDescent="0.2">
      <c r="A29" s="13" t="s">
        <v>278</v>
      </c>
      <c r="B29" s="320" t="s">
        <v>658</v>
      </c>
      <c r="C29" s="546">
        <f t="shared" si="0"/>
        <v>231154000</v>
      </c>
      <c r="D29" s="217">
        <v>231154000</v>
      </c>
      <c r="E29" s="234"/>
      <c r="F29" s="234"/>
    </row>
    <row r="30" spans="1:6" s="318" customFormat="1" ht="12" customHeight="1" x14ac:dyDescent="0.2">
      <c r="A30" s="13" t="s">
        <v>552</v>
      </c>
      <c r="B30" s="320" t="s">
        <v>655</v>
      </c>
      <c r="C30" s="552">
        <f t="shared" si="0"/>
        <v>0</v>
      </c>
      <c r="D30" s="411"/>
      <c r="E30" s="237"/>
      <c r="F30" s="237"/>
    </row>
    <row r="31" spans="1:6" s="318" customFormat="1" ht="12" customHeight="1" x14ac:dyDescent="0.2">
      <c r="A31" s="13" t="s">
        <v>279</v>
      </c>
      <c r="B31" s="320" t="s">
        <v>284</v>
      </c>
      <c r="C31" s="552">
        <f t="shared" si="0"/>
        <v>28000000</v>
      </c>
      <c r="D31" s="217">
        <v>28000000</v>
      </c>
      <c r="E31" s="234"/>
      <c r="F31" s="237"/>
    </row>
    <row r="32" spans="1:6" s="318" customFormat="1" ht="12" customHeight="1" x14ac:dyDescent="0.2">
      <c r="A32" s="13" t="s">
        <v>280</v>
      </c>
      <c r="B32" s="320" t="s">
        <v>285</v>
      </c>
      <c r="C32" s="552">
        <f t="shared" si="0"/>
        <v>4504000</v>
      </c>
      <c r="D32" s="217">
        <v>4504000</v>
      </c>
      <c r="E32" s="234"/>
      <c r="F32" s="237"/>
    </row>
    <row r="33" spans="1:6" s="318" customFormat="1" ht="12" customHeight="1" thickBot="1" x14ac:dyDescent="0.25">
      <c r="A33" s="15" t="s">
        <v>281</v>
      </c>
      <c r="B33" s="321" t="s">
        <v>286</v>
      </c>
      <c r="C33" s="553">
        <f t="shared" si="0"/>
        <v>11500000</v>
      </c>
      <c r="D33" s="415">
        <v>11500000</v>
      </c>
      <c r="E33" s="308"/>
      <c r="F33" s="308"/>
    </row>
    <row r="34" spans="1:6" s="318" customFormat="1" ht="12" customHeight="1" thickBot="1" x14ac:dyDescent="0.25">
      <c r="A34" s="19" t="s">
        <v>35</v>
      </c>
      <c r="B34" s="20" t="s">
        <v>554</v>
      </c>
      <c r="C34" s="233">
        <f t="shared" si="0"/>
        <v>230484481</v>
      </c>
      <c r="D34" s="443">
        <f>SUM(D35:D45)</f>
        <v>24782669</v>
      </c>
      <c r="E34" s="233">
        <f>SUM(E35:E45)</f>
        <v>2005440</v>
      </c>
      <c r="F34" s="233">
        <f>SUM(F35:F45)</f>
        <v>203696372</v>
      </c>
    </row>
    <row r="35" spans="1:6" s="318" customFormat="1" ht="12" customHeight="1" x14ac:dyDescent="0.2">
      <c r="A35" s="14" t="s">
        <v>107</v>
      </c>
      <c r="B35" s="319" t="s">
        <v>289</v>
      </c>
      <c r="C35" s="545">
        <f t="shared" si="0"/>
        <v>20000</v>
      </c>
      <c r="D35" s="451"/>
      <c r="E35" s="357"/>
      <c r="F35" s="357">
        <v>20000</v>
      </c>
    </row>
    <row r="36" spans="1:6" s="318" customFormat="1" ht="12" customHeight="1" x14ac:dyDescent="0.2">
      <c r="A36" s="13" t="s">
        <v>108</v>
      </c>
      <c r="B36" s="320" t="s">
        <v>290</v>
      </c>
      <c r="C36" s="546">
        <f t="shared" si="0"/>
        <v>61855197</v>
      </c>
      <c r="D36" s="411">
        <f>13910169+100000</f>
        <v>14010169</v>
      </c>
      <c r="E36" s="237">
        <f>1198440+380000</f>
        <v>1578440</v>
      </c>
      <c r="F36" s="357">
        <v>46266588</v>
      </c>
    </row>
    <row r="37" spans="1:6" s="318" customFormat="1" ht="12" customHeight="1" x14ac:dyDescent="0.2">
      <c r="A37" s="13" t="s">
        <v>109</v>
      </c>
      <c r="B37" s="320" t="s">
        <v>291</v>
      </c>
      <c r="C37" s="546">
        <f t="shared" si="0"/>
        <v>90017000</v>
      </c>
      <c r="D37" s="411">
        <f>500000+300000+50000+1400000+947000+300000</f>
        <v>3497000</v>
      </c>
      <c r="E37" s="237"/>
      <c r="F37" s="357">
        <v>86520000</v>
      </c>
    </row>
    <row r="38" spans="1:6" s="318" customFormat="1" ht="12" customHeight="1" x14ac:dyDescent="0.2">
      <c r="A38" s="13" t="s">
        <v>182</v>
      </c>
      <c r="B38" s="320" t="s">
        <v>292</v>
      </c>
      <c r="C38" s="546">
        <f t="shared" si="0"/>
        <v>430000</v>
      </c>
      <c r="D38" s="411">
        <v>430000</v>
      </c>
      <c r="E38" s="237"/>
      <c r="F38" s="357"/>
    </row>
    <row r="39" spans="1:6" s="318" customFormat="1" ht="12" customHeight="1" x14ac:dyDescent="0.2">
      <c r="A39" s="13" t="s">
        <v>183</v>
      </c>
      <c r="B39" s="320" t="s">
        <v>293</v>
      </c>
      <c r="C39" s="697">
        <f t="shared" si="0"/>
        <v>21166618</v>
      </c>
      <c r="D39" s="411"/>
      <c r="E39" s="237"/>
      <c r="F39" s="357">
        <v>21166618</v>
      </c>
    </row>
    <row r="40" spans="1:6" s="318" customFormat="1" ht="12" customHeight="1" x14ac:dyDescent="0.2">
      <c r="A40" s="13" t="s">
        <v>184</v>
      </c>
      <c r="B40" s="320" t="s">
        <v>294</v>
      </c>
      <c r="C40" s="546">
        <f t="shared" si="0"/>
        <v>37654666</v>
      </c>
      <c r="D40" s="411">
        <f>5162000+81000+13500+378000+81000</f>
        <v>5715500</v>
      </c>
      <c r="E40" s="237">
        <f>324000+103000</f>
        <v>427000</v>
      </c>
      <c r="F40" s="357">
        <v>31512166</v>
      </c>
    </row>
    <row r="41" spans="1:6" s="318" customFormat="1" ht="12" customHeight="1" x14ac:dyDescent="0.2">
      <c r="A41" s="13" t="s">
        <v>185</v>
      </c>
      <c r="B41" s="320" t="s">
        <v>295</v>
      </c>
      <c r="C41" s="546">
        <f t="shared" si="0"/>
        <v>18210000</v>
      </c>
      <c r="D41" s="411"/>
      <c r="E41" s="237"/>
      <c r="F41" s="357">
        <v>18210000</v>
      </c>
    </row>
    <row r="42" spans="1:6" s="318" customFormat="1" ht="12" customHeight="1" x14ac:dyDescent="0.2">
      <c r="A42" s="13" t="s">
        <v>186</v>
      </c>
      <c r="B42" s="320" t="s">
        <v>667</v>
      </c>
      <c r="C42" s="546">
        <f t="shared" si="0"/>
        <v>31000</v>
      </c>
      <c r="D42" s="411">
        <v>30000</v>
      </c>
      <c r="E42" s="237"/>
      <c r="F42" s="357">
        <v>1000</v>
      </c>
    </row>
    <row r="43" spans="1:6" s="318" customFormat="1" ht="12" customHeight="1" x14ac:dyDescent="0.2">
      <c r="A43" s="13" t="s">
        <v>287</v>
      </c>
      <c r="B43" s="320" t="s">
        <v>297</v>
      </c>
      <c r="C43" s="546">
        <f t="shared" si="0"/>
        <v>0</v>
      </c>
      <c r="D43" s="411"/>
      <c r="E43" s="237"/>
      <c r="F43" s="357"/>
    </row>
    <row r="44" spans="1:6" s="318" customFormat="1" ht="12" customHeight="1" x14ac:dyDescent="0.2">
      <c r="A44" s="15" t="s">
        <v>288</v>
      </c>
      <c r="B44" s="321" t="s">
        <v>555</v>
      </c>
      <c r="C44" s="546">
        <f t="shared" si="0"/>
        <v>500000</v>
      </c>
      <c r="D44" s="415">
        <v>500000</v>
      </c>
      <c r="E44" s="308"/>
      <c r="F44" s="308"/>
    </row>
    <row r="45" spans="1:6" s="318" customFormat="1" ht="12" customHeight="1" thickBot="1" x14ac:dyDescent="0.25">
      <c r="A45" s="15" t="s">
        <v>556</v>
      </c>
      <c r="B45" s="230" t="s">
        <v>298</v>
      </c>
      <c r="C45" s="547">
        <f t="shared" si="0"/>
        <v>600000</v>
      </c>
      <c r="D45" s="415">
        <v>600000</v>
      </c>
      <c r="E45" s="308"/>
      <c r="F45" s="427"/>
    </row>
    <row r="46" spans="1:6" s="318" customFormat="1" ht="12" customHeight="1" thickBot="1" x14ac:dyDescent="0.25">
      <c r="A46" s="19" t="s">
        <v>36</v>
      </c>
      <c r="B46" s="20" t="s">
        <v>299</v>
      </c>
      <c r="C46" s="233">
        <f t="shared" si="0"/>
        <v>30332500</v>
      </c>
      <c r="D46" s="443">
        <f>SUM(D47:D51)</f>
        <v>30332500</v>
      </c>
      <c r="E46" s="233">
        <f>SUM(E47:E51)</f>
        <v>0</v>
      </c>
      <c r="F46" s="233">
        <f>SUM(F47:F51)</f>
        <v>0</v>
      </c>
    </row>
    <row r="47" spans="1:6" s="318" customFormat="1" ht="12" customHeight="1" x14ac:dyDescent="0.2">
      <c r="A47" s="14" t="s">
        <v>110</v>
      </c>
      <c r="B47" s="319" t="s">
        <v>303</v>
      </c>
      <c r="C47" s="314">
        <f t="shared" si="0"/>
        <v>0</v>
      </c>
      <c r="D47" s="451"/>
      <c r="E47" s="357"/>
      <c r="F47" s="357"/>
    </row>
    <row r="48" spans="1:6" s="318" customFormat="1" ht="12" customHeight="1" x14ac:dyDescent="0.2">
      <c r="A48" s="13" t="s">
        <v>111</v>
      </c>
      <c r="B48" s="320" t="s">
        <v>304</v>
      </c>
      <c r="C48" s="552">
        <f>SUM(D48:F48)</f>
        <v>30332500</v>
      </c>
      <c r="D48" s="411">
        <v>30332500</v>
      </c>
      <c r="E48" s="237"/>
      <c r="F48" s="237"/>
    </row>
    <row r="49" spans="1:6" s="318" customFormat="1" ht="12" customHeight="1" x14ac:dyDescent="0.2">
      <c r="A49" s="13" t="s">
        <v>300</v>
      </c>
      <c r="B49" s="320" t="s">
        <v>305</v>
      </c>
      <c r="C49" s="552">
        <f t="shared" si="0"/>
        <v>0</v>
      </c>
      <c r="D49" s="411"/>
      <c r="E49" s="237"/>
      <c r="F49" s="237"/>
    </row>
    <row r="50" spans="1:6" s="318" customFormat="1" ht="12" customHeight="1" x14ac:dyDescent="0.2">
      <c r="A50" s="13" t="s">
        <v>301</v>
      </c>
      <c r="B50" s="320" t="s">
        <v>306</v>
      </c>
      <c r="C50" s="552">
        <f t="shared" si="0"/>
        <v>0</v>
      </c>
      <c r="D50" s="411"/>
      <c r="E50" s="237"/>
      <c r="F50" s="237"/>
    </row>
    <row r="51" spans="1:6" s="318" customFormat="1" ht="12" customHeight="1" thickBot="1" x14ac:dyDescent="0.25">
      <c r="A51" s="15" t="s">
        <v>302</v>
      </c>
      <c r="B51" s="230" t="s">
        <v>307</v>
      </c>
      <c r="C51" s="553">
        <f t="shared" si="0"/>
        <v>0</v>
      </c>
      <c r="D51" s="415"/>
      <c r="E51" s="308"/>
      <c r="F51" s="308"/>
    </row>
    <row r="52" spans="1:6" s="318" customFormat="1" ht="12" customHeight="1" thickBot="1" x14ac:dyDescent="0.25">
      <c r="A52" s="19" t="s">
        <v>187</v>
      </c>
      <c r="B52" s="20" t="s">
        <v>308</v>
      </c>
      <c r="C52" s="233">
        <f t="shared" si="0"/>
        <v>2900000</v>
      </c>
      <c r="D52" s="443">
        <f>SUM(D53:D55)</f>
        <v>2900000</v>
      </c>
      <c r="E52" s="233">
        <f>SUM(E53:E55)</f>
        <v>0</v>
      </c>
      <c r="F52" s="233">
        <f>SUM(F53:F55)</f>
        <v>0</v>
      </c>
    </row>
    <row r="53" spans="1:6" s="318" customFormat="1" ht="12" customHeight="1" x14ac:dyDescent="0.2">
      <c r="A53" s="14" t="s">
        <v>112</v>
      </c>
      <c r="B53" s="319" t="s">
        <v>309</v>
      </c>
      <c r="C53" s="314">
        <f t="shared" si="0"/>
        <v>0</v>
      </c>
      <c r="D53" s="446"/>
      <c r="E53" s="235"/>
      <c r="F53" s="235"/>
    </row>
    <row r="54" spans="1:6" s="318" customFormat="1" ht="12" customHeight="1" x14ac:dyDescent="0.2">
      <c r="A54" s="13" t="s">
        <v>113</v>
      </c>
      <c r="B54" s="320" t="s">
        <v>440</v>
      </c>
      <c r="C54" s="546">
        <f t="shared" si="0"/>
        <v>0</v>
      </c>
      <c r="D54" s="411"/>
      <c r="E54" s="237"/>
      <c r="F54" s="237"/>
    </row>
    <row r="55" spans="1:6" s="318" customFormat="1" ht="12" customHeight="1" x14ac:dyDescent="0.2">
      <c r="A55" s="13" t="s">
        <v>312</v>
      </c>
      <c r="B55" s="320" t="s">
        <v>310</v>
      </c>
      <c r="C55" s="546">
        <f t="shared" si="0"/>
        <v>2900000</v>
      </c>
      <c r="D55" s="411">
        <v>2900000</v>
      </c>
      <c r="E55" s="237"/>
      <c r="F55" s="237"/>
    </row>
    <row r="56" spans="1:6" s="318" customFormat="1" ht="12" customHeight="1" thickBot="1" x14ac:dyDescent="0.25">
      <c r="A56" s="15" t="s">
        <v>313</v>
      </c>
      <c r="B56" s="230" t="s">
        <v>311</v>
      </c>
      <c r="C56" s="553">
        <f t="shared" si="0"/>
        <v>0</v>
      </c>
      <c r="D56" s="218"/>
      <c r="E56" s="236"/>
      <c r="F56" s="236"/>
    </row>
    <row r="57" spans="1:6" s="318" customFormat="1" ht="12" customHeight="1" thickBot="1" x14ac:dyDescent="0.25">
      <c r="A57" s="19" t="s">
        <v>38</v>
      </c>
      <c r="B57" s="228" t="s">
        <v>314</v>
      </c>
      <c r="C57" s="554">
        <f t="shared" si="0"/>
        <v>0</v>
      </c>
      <c r="D57" s="443">
        <f>SUM(D58:D60)</f>
        <v>0</v>
      </c>
      <c r="E57" s="233">
        <f>SUM(E58:E60)</f>
        <v>0</v>
      </c>
      <c r="F57" s="233">
        <f>SUM(F58:F60)</f>
        <v>0</v>
      </c>
    </row>
    <row r="58" spans="1:6" s="318" customFormat="1" ht="12" customHeight="1" x14ac:dyDescent="0.2">
      <c r="A58" s="14" t="s">
        <v>188</v>
      </c>
      <c r="B58" s="319" t="s">
        <v>316</v>
      </c>
      <c r="C58" s="314">
        <f t="shared" si="0"/>
        <v>0</v>
      </c>
      <c r="D58" s="411"/>
      <c r="E58" s="237"/>
      <c r="F58" s="237"/>
    </row>
    <row r="59" spans="1:6" s="318" customFormat="1" ht="12" customHeight="1" x14ac:dyDescent="0.2">
      <c r="A59" s="13" t="s">
        <v>189</v>
      </c>
      <c r="B59" s="320" t="s">
        <v>441</v>
      </c>
      <c r="C59" s="546">
        <f t="shared" si="0"/>
        <v>0</v>
      </c>
      <c r="D59" s="411"/>
      <c r="E59" s="237"/>
      <c r="F59" s="237"/>
    </row>
    <row r="60" spans="1:6" s="318" customFormat="1" ht="12" customHeight="1" x14ac:dyDescent="0.2">
      <c r="A60" s="13" t="s">
        <v>237</v>
      </c>
      <c r="B60" s="320" t="s">
        <v>317</v>
      </c>
      <c r="C60" s="546">
        <f t="shared" si="0"/>
        <v>0</v>
      </c>
      <c r="D60" s="411"/>
      <c r="E60" s="237"/>
      <c r="F60" s="237"/>
    </row>
    <row r="61" spans="1:6" s="318" customFormat="1" ht="12" customHeight="1" thickBot="1" x14ac:dyDescent="0.25">
      <c r="A61" s="15" t="s">
        <v>315</v>
      </c>
      <c r="B61" s="230" t="s">
        <v>318</v>
      </c>
      <c r="C61" s="553">
        <f t="shared" si="0"/>
        <v>0</v>
      </c>
      <c r="D61" s="411"/>
      <c r="E61" s="237"/>
      <c r="F61" s="237"/>
    </row>
    <row r="62" spans="1:6" s="318" customFormat="1" ht="12" customHeight="1" thickBot="1" x14ac:dyDescent="0.25">
      <c r="A62" s="392" t="s">
        <v>557</v>
      </c>
      <c r="B62" s="20" t="s">
        <v>319</v>
      </c>
      <c r="C62" s="233">
        <f t="shared" si="0"/>
        <v>1783236144</v>
      </c>
      <c r="D62" s="448">
        <f>+D5+D12+D19+D26+D34+D46+D52+D57</f>
        <v>1574438095</v>
      </c>
      <c r="E62" s="238">
        <f>+E5+E12+E19+E26+E34+E46+E52+E57</f>
        <v>5101677</v>
      </c>
      <c r="F62" s="238">
        <f>+F5+F12+F19+F26+F34+F46+F52+F57</f>
        <v>203696372</v>
      </c>
    </row>
    <row r="63" spans="1:6" s="318" customFormat="1" ht="12" customHeight="1" thickBot="1" x14ac:dyDescent="0.25">
      <c r="A63" s="393" t="s">
        <v>320</v>
      </c>
      <c r="B63" s="228" t="s">
        <v>321</v>
      </c>
      <c r="C63" s="554">
        <f t="shared" si="0"/>
        <v>193478462</v>
      </c>
      <c r="D63" s="443">
        <f>SUM(D64:D66)</f>
        <v>193478462</v>
      </c>
      <c r="E63" s="233">
        <f>SUM(E64:E66)</f>
        <v>0</v>
      </c>
      <c r="F63" s="233">
        <f>SUM(F64:F66)</f>
        <v>0</v>
      </c>
    </row>
    <row r="64" spans="1:6" s="318" customFormat="1" ht="12" customHeight="1" x14ac:dyDescent="0.2">
      <c r="A64" s="14" t="s">
        <v>352</v>
      </c>
      <c r="B64" s="319" t="s">
        <v>322</v>
      </c>
      <c r="C64" s="314">
        <f t="shared" si="0"/>
        <v>93478462</v>
      </c>
      <c r="D64" s="411">
        <v>93478462</v>
      </c>
      <c r="E64" s="237"/>
      <c r="F64" s="237"/>
    </row>
    <row r="65" spans="1:6" s="318" customFormat="1" ht="12" customHeight="1" x14ac:dyDescent="0.2">
      <c r="A65" s="13" t="s">
        <v>361</v>
      </c>
      <c r="B65" s="320" t="s">
        <v>323</v>
      </c>
      <c r="C65" s="552">
        <f t="shared" si="0"/>
        <v>100000000</v>
      </c>
      <c r="D65" s="411">
        <v>100000000</v>
      </c>
      <c r="E65" s="237"/>
      <c r="F65" s="237"/>
    </row>
    <row r="66" spans="1:6" s="318" customFormat="1" ht="12" customHeight="1" thickBot="1" x14ac:dyDescent="0.25">
      <c r="A66" s="15" t="s">
        <v>362</v>
      </c>
      <c r="B66" s="394" t="s">
        <v>558</v>
      </c>
      <c r="C66" s="553">
        <f t="shared" si="0"/>
        <v>0</v>
      </c>
      <c r="D66" s="411"/>
      <c r="E66" s="237"/>
      <c r="F66" s="237"/>
    </row>
    <row r="67" spans="1:6" s="318" customFormat="1" ht="12" customHeight="1" thickBot="1" x14ac:dyDescent="0.25">
      <c r="A67" s="393" t="s">
        <v>325</v>
      </c>
      <c r="B67" s="228" t="s">
        <v>326</v>
      </c>
      <c r="C67" s="554">
        <f t="shared" si="0"/>
        <v>0</v>
      </c>
      <c r="D67" s="443">
        <f>SUM(D68:D71)</f>
        <v>0</v>
      </c>
      <c r="E67" s="233">
        <f>SUM(E68:E71)</f>
        <v>0</v>
      </c>
      <c r="F67" s="233">
        <f>SUM(F68:F71)</f>
        <v>0</v>
      </c>
    </row>
    <row r="68" spans="1:6" s="318" customFormat="1" ht="12" customHeight="1" x14ac:dyDescent="0.2">
      <c r="A68" s="14" t="s">
        <v>159</v>
      </c>
      <c r="B68" s="319" t="s">
        <v>327</v>
      </c>
      <c r="C68" s="314">
        <f t="shared" si="0"/>
        <v>0</v>
      </c>
      <c r="D68" s="411"/>
      <c r="E68" s="237"/>
      <c r="F68" s="237"/>
    </row>
    <row r="69" spans="1:6" s="318" customFormat="1" ht="12" customHeight="1" x14ac:dyDescent="0.2">
      <c r="A69" s="13" t="s">
        <v>160</v>
      </c>
      <c r="B69" s="320" t="s">
        <v>328</v>
      </c>
      <c r="C69" s="552">
        <f t="shared" ref="C69:C87" si="1">SUM(D69:F69)</f>
        <v>0</v>
      </c>
      <c r="D69" s="411"/>
      <c r="E69" s="237"/>
      <c r="F69" s="237"/>
    </row>
    <row r="70" spans="1:6" s="318" customFormat="1" ht="12" customHeight="1" x14ac:dyDescent="0.2">
      <c r="A70" s="13" t="s">
        <v>353</v>
      </c>
      <c r="B70" s="320" t="s">
        <v>329</v>
      </c>
      <c r="C70" s="552">
        <f t="shared" si="1"/>
        <v>0</v>
      </c>
      <c r="D70" s="411"/>
      <c r="E70" s="237"/>
      <c r="F70" s="237"/>
    </row>
    <row r="71" spans="1:6" s="318" customFormat="1" ht="12" customHeight="1" thickBot="1" x14ac:dyDescent="0.25">
      <c r="A71" s="15" t="s">
        <v>354</v>
      </c>
      <c r="B71" s="230" t="s">
        <v>330</v>
      </c>
      <c r="C71" s="553">
        <f t="shared" si="1"/>
        <v>0</v>
      </c>
      <c r="D71" s="411"/>
      <c r="E71" s="237"/>
      <c r="F71" s="237"/>
    </row>
    <row r="72" spans="1:6" s="318" customFormat="1" ht="12" customHeight="1" thickBot="1" x14ac:dyDescent="0.25">
      <c r="A72" s="393" t="s">
        <v>331</v>
      </c>
      <c r="B72" s="228" t="s">
        <v>332</v>
      </c>
      <c r="C72" s="233">
        <f t="shared" si="1"/>
        <v>577202893</v>
      </c>
      <c r="D72" s="443">
        <f>SUM(D73:D74)</f>
        <v>569119704</v>
      </c>
      <c r="E72" s="233">
        <f>SUM(E73:E74)</f>
        <v>3148853</v>
      </c>
      <c r="F72" s="233">
        <f>SUM(F73:F74)</f>
        <v>4934336</v>
      </c>
    </row>
    <row r="73" spans="1:6" s="318" customFormat="1" ht="12" customHeight="1" x14ac:dyDescent="0.2">
      <c r="A73" s="14" t="s">
        <v>355</v>
      </c>
      <c r="B73" s="319" t="s">
        <v>333</v>
      </c>
      <c r="C73" s="314">
        <f t="shared" si="1"/>
        <v>577202893</v>
      </c>
      <c r="D73" s="411">
        <v>569119704</v>
      </c>
      <c r="E73" s="237">
        <v>3148853</v>
      </c>
      <c r="F73" s="237">
        <v>4934336</v>
      </c>
    </row>
    <row r="74" spans="1:6" s="318" customFormat="1" ht="12" customHeight="1" thickBot="1" x14ac:dyDescent="0.25">
      <c r="A74" s="15" t="s">
        <v>356</v>
      </c>
      <c r="B74" s="230" t="s">
        <v>334</v>
      </c>
      <c r="C74" s="553">
        <f t="shared" si="1"/>
        <v>0</v>
      </c>
      <c r="D74" s="411"/>
      <c r="E74" s="237"/>
      <c r="F74" s="237"/>
    </row>
    <row r="75" spans="1:6" s="318" customFormat="1" ht="12" customHeight="1" thickBot="1" x14ac:dyDescent="0.25">
      <c r="A75" s="393" t="s">
        <v>335</v>
      </c>
      <c r="B75" s="228" t="s">
        <v>336</v>
      </c>
      <c r="C75" s="554">
        <f t="shared" si="1"/>
        <v>0</v>
      </c>
      <c r="D75" s="443">
        <f>SUM(D76:D78)</f>
        <v>0</v>
      </c>
      <c r="E75" s="233">
        <f>SUM(E76:E78)</f>
        <v>0</v>
      </c>
      <c r="F75" s="233">
        <f>SUM(F76:F78)</f>
        <v>0</v>
      </c>
    </row>
    <row r="76" spans="1:6" s="318" customFormat="1" ht="12" customHeight="1" x14ac:dyDescent="0.2">
      <c r="A76" s="14" t="s">
        <v>357</v>
      </c>
      <c r="B76" s="319" t="s">
        <v>337</v>
      </c>
      <c r="C76" s="314">
        <f t="shared" si="1"/>
        <v>0</v>
      </c>
      <c r="D76" s="411"/>
      <c r="E76" s="237"/>
      <c r="F76" s="237"/>
    </row>
    <row r="77" spans="1:6" s="318" customFormat="1" ht="12" customHeight="1" x14ac:dyDescent="0.2">
      <c r="A77" s="13" t="s">
        <v>358</v>
      </c>
      <c r="B77" s="320" t="s">
        <v>338</v>
      </c>
      <c r="C77" s="552">
        <f t="shared" si="1"/>
        <v>0</v>
      </c>
      <c r="D77" s="411"/>
      <c r="E77" s="237"/>
      <c r="F77" s="237"/>
    </row>
    <row r="78" spans="1:6" s="318" customFormat="1" ht="12" customHeight="1" thickBot="1" x14ac:dyDescent="0.25">
      <c r="A78" s="15" t="s">
        <v>359</v>
      </c>
      <c r="B78" s="230" t="s">
        <v>339</v>
      </c>
      <c r="C78" s="553">
        <f t="shared" si="1"/>
        <v>0</v>
      </c>
      <c r="D78" s="411"/>
      <c r="E78" s="237"/>
      <c r="F78" s="237"/>
    </row>
    <row r="79" spans="1:6" s="318" customFormat="1" ht="12" customHeight="1" thickBot="1" x14ac:dyDescent="0.25">
      <c r="A79" s="393" t="s">
        <v>340</v>
      </c>
      <c r="B79" s="228" t="s">
        <v>360</v>
      </c>
      <c r="C79" s="554">
        <f t="shared" si="1"/>
        <v>0</v>
      </c>
      <c r="D79" s="443">
        <f>SUM(D80:D83)</f>
        <v>0</v>
      </c>
      <c r="E79" s="233">
        <f>SUM(E80:E83)</f>
        <v>0</v>
      </c>
      <c r="F79" s="233">
        <f>SUM(F80:F83)</f>
        <v>0</v>
      </c>
    </row>
    <row r="80" spans="1:6" s="318" customFormat="1" ht="12" customHeight="1" x14ac:dyDescent="0.2">
      <c r="A80" s="323" t="s">
        <v>341</v>
      </c>
      <c r="B80" s="319" t="s">
        <v>342</v>
      </c>
      <c r="C80" s="314">
        <f t="shared" si="1"/>
        <v>0</v>
      </c>
      <c r="D80" s="411"/>
      <c r="E80" s="237"/>
      <c r="F80" s="237"/>
    </row>
    <row r="81" spans="1:6" s="318" customFormat="1" ht="12" customHeight="1" x14ac:dyDescent="0.2">
      <c r="A81" s="324" t="s">
        <v>343</v>
      </c>
      <c r="B81" s="320" t="s">
        <v>344</v>
      </c>
      <c r="C81" s="552">
        <f t="shared" si="1"/>
        <v>0</v>
      </c>
      <c r="D81" s="411"/>
      <c r="E81" s="237"/>
      <c r="F81" s="237"/>
    </row>
    <row r="82" spans="1:6" s="318" customFormat="1" ht="12" customHeight="1" x14ac:dyDescent="0.2">
      <c r="A82" s="324" t="s">
        <v>345</v>
      </c>
      <c r="B82" s="320" t="s">
        <v>346</v>
      </c>
      <c r="C82" s="552">
        <f t="shared" si="1"/>
        <v>0</v>
      </c>
      <c r="D82" s="411"/>
      <c r="E82" s="237"/>
      <c r="F82" s="237"/>
    </row>
    <row r="83" spans="1:6" s="318" customFormat="1" ht="12" customHeight="1" thickBot="1" x14ac:dyDescent="0.25">
      <c r="A83" s="325" t="s">
        <v>347</v>
      </c>
      <c r="B83" s="230" t="s">
        <v>348</v>
      </c>
      <c r="C83" s="553">
        <f t="shared" si="1"/>
        <v>0</v>
      </c>
      <c r="D83" s="411"/>
      <c r="E83" s="237"/>
      <c r="F83" s="237"/>
    </row>
    <row r="84" spans="1:6" s="318" customFormat="1" ht="12" customHeight="1" thickBot="1" x14ac:dyDescent="0.25">
      <c r="A84" s="393" t="s">
        <v>349</v>
      </c>
      <c r="B84" s="228" t="s">
        <v>559</v>
      </c>
      <c r="C84" s="699">
        <f t="shared" si="1"/>
        <v>0</v>
      </c>
      <c r="D84" s="453"/>
      <c r="E84" s="358"/>
      <c r="F84" s="358"/>
    </row>
    <row r="85" spans="1:6" s="318" customFormat="1" ht="13.5" customHeight="1" thickBot="1" x14ac:dyDescent="0.25">
      <c r="A85" s="393" t="s">
        <v>351</v>
      </c>
      <c r="B85" s="228" t="s">
        <v>350</v>
      </c>
      <c r="C85" s="554">
        <f t="shared" si="1"/>
        <v>0</v>
      </c>
      <c r="D85" s="453"/>
      <c r="E85" s="358"/>
      <c r="F85" s="358"/>
    </row>
    <row r="86" spans="1:6" s="318" customFormat="1" ht="15.75" customHeight="1" thickBot="1" x14ac:dyDescent="0.25">
      <c r="A86" s="393" t="s">
        <v>363</v>
      </c>
      <c r="B86" s="326" t="s">
        <v>560</v>
      </c>
      <c r="C86" s="233">
        <f t="shared" si="1"/>
        <v>770681355</v>
      </c>
      <c r="D86" s="448">
        <f>+D63+D67+D72+D75+D79+D85+D84</f>
        <v>762598166</v>
      </c>
      <c r="E86" s="238">
        <f>+E63+E67+E72+E75+E79+E85+E84</f>
        <v>3148853</v>
      </c>
      <c r="F86" s="238">
        <f>+F63+F67+F72+F75+F79+F85+F84</f>
        <v>4934336</v>
      </c>
    </row>
    <row r="87" spans="1:6" s="318" customFormat="1" ht="16.5" customHeight="1" thickBot="1" x14ac:dyDescent="0.25">
      <c r="A87" s="395" t="s">
        <v>561</v>
      </c>
      <c r="B87" s="327" t="s">
        <v>562</v>
      </c>
      <c r="C87" s="399">
        <f t="shared" si="1"/>
        <v>2553917499</v>
      </c>
      <c r="D87" s="448">
        <f>+D62+D86</f>
        <v>2337036261</v>
      </c>
      <c r="E87" s="238">
        <f>+E62+E86</f>
        <v>8250530</v>
      </c>
      <c r="F87" s="238">
        <f>+F62+F86</f>
        <v>208630708</v>
      </c>
    </row>
    <row r="88" spans="1:6" s="318" customFormat="1" ht="83.25" customHeight="1" x14ac:dyDescent="0.2">
      <c r="A88" s="4"/>
      <c r="B88" s="5"/>
      <c r="C88" s="239"/>
    </row>
    <row r="89" spans="1:6" ht="16.5" customHeight="1" x14ac:dyDescent="0.25">
      <c r="A89" s="1171" t="s">
        <v>60</v>
      </c>
      <c r="B89" s="1171"/>
      <c r="C89" s="1171"/>
    </row>
    <row r="90" spans="1:6" s="328" customFormat="1" ht="16.5" customHeight="1" thickBot="1" x14ac:dyDescent="0.3">
      <c r="A90" s="1172" t="s">
        <v>162</v>
      </c>
      <c r="B90" s="1172"/>
      <c r="C90" s="104" t="s">
        <v>688</v>
      </c>
    </row>
    <row r="91" spans="1:6" ht="38.1" customHeight="1" thickBot="1" x14ac:dyDescent="0.3">
      <c r="A91" s="22" t="s">
        <v>84</v>
      </c>
      <c r="B91" s="23" t="s">
        <v>61</v>
      </c>
      <c r="C91" s="37" t="str">
        <f>+C3</f>
        <v>2018. évi előirányzat</v>
      </c>
    </row>
    <row r="92" spans="1:6" s="317" customFormat="1" ht="12" customHeight="1" thickBot="1" x14ac:dyDescent="0.25">
      <c r="A92" s="31" t="s">
        <v>546</v>
      </c>
      <c r="B92" s="32" t="s">
        <v>547</v>
      </c>
      <c r="C92" s="313" t="s">
        <v>548</v>
      </c>
    </row>
    <row r="93" spans="1:6" ht="12" customHeight="1" thickBot="1" x14ac:dyDescent="0.3">
      <c r="A93" s="21" t="s">
        <v>31</v>
      </c>
      <c r="B93" s="25" t="s">
        <v>600</v>
      </c>
      <c r="C93" s="233">
        <f t="shared" ref="C93:C154" si="2">SUM(D93:F93)</f>
        <v>1543358448</v>
      </c>
      <c r="D93" s="457">
        <f>+D94+D95+D96+D97+D98+D111</f>
        <v>587597905</v>
      </c>
      <c r="E93" s="232">
        <f>+E94+E95+E96+E97+E98+E111</f>
        <v>28754363</v>
      </c>
      <c r="F93" s="522">
        <f>F94+F95+F96+F97+F98+F111</f>
        <v>927006180</v>
      </c>
    </row>
    <row r="94" spans="1:6" ht="12" customHeight="1" x14ac:dyDescent="0.25">
      <c r="A94" s="16" t="s">
        <v>114</v>
      </c>
      <c r="B94" s="9" t="s">
        <v>62</v>
      </c>
      <c r="C94" s="545">
        <f t="shared" si="2"/>
        <v>497827852</v>
      </c>
      <c r="D94" s="528">
        <f>2854500+25097896+11111000+584100+20000+1182990</f>
        <v>40850486</v>
      </c>
      <c r="E94" s="420">
        <f>481000+2215000</f>
        <v>2696000</v>
      </c>
      <c r="F94" s="450">
        <v>454281366</v>
      </c>
    </row>
    <row r="95" spans="1:6" ht="12" customHeight="1" x14ac:dyDescent="0.25">
      <c r="A95" s="13" t="s">
        <v>115</v>
      </c>
      <c r="B95" s="7" t="s">
        <v>190</v>
      </c>
      <c r="C95" s="546">
        <f t="shared" si="2"/>
        <v>105377454</v>
      </c>
      <c r="D95" s="411">
        <f>500965+4771305+2167000+14000+207615</f>
        <v>7660885</v>
      </c>
      <c r="E95" s="237">
        <f>114000+461687</f>
        <v>575687</v>
      </c>
      <c r="F95" s="449">
        <v>97140882</v>
      </c>
    </row>
    <row r="96" spans="1:6" ht="12" customHeight="1" x14ac:dyDescent="0.25">
      <c r="A96" s="13" t="s">
        <v>116</v>
      </c>
      <c r="B96" s="7" t="s">
        <v>151</v>
      </c>
      <c r="C96" s="546">
        <f t="shared" si="2"/>
        <v>639838536</v>
      </c>
      <c r="D96" s="415">
        <f>13447475+835000+50000+52909601+6787092+2456000+4504030+871220+34163000+50473064+3285067+9000000+443000+120000+17207888+17042731+48545760+500000+381000</f>
        <v>263021928</v>
      </c>
      <c r="E96" s="308">
        <f>324000+352000+137126+419550</f>
        <v>1232676</v>
      </c>
      <c r="F96" s="449">
        <v>375583932</v>
      </c>
    </row>
    <row r="97" spans="1:6" ht="12" customHeight="1" x14ac:dyDescent="0.25">
      <c r="A97" s="13" t="s">
        <v>117</v>
      </c>
      <c r="B97" s="7" t="s">
        <v>191</v>
      </c>
      <c r="C97" s="546">
        <f t="shared" si="2"/>
        <v>97250000</v>
      </c>
      <c r="D97" s="415">
        <f>69500000+3500000</f>
        <v>73000000</v>
      </c>
      <c r="E97" s="308">
        <v>24250000</v>
      </c>
      <c r="F97" s="449"/>
    </row>
    <row r="98" spans="1:6" ht="12" customHeight="1" x14ac:dyDescent="0.25">
      <c r="A98" s="13" t="s">
        <v>128</v>
      </c>
      <c r="B98" s="6" t="s">
        <v>192</v>
      </c>
      <c r="C98" s="546">
        <f t="shared" si="2"/>
        <v>122218084</v>
      </c>
      <c r="D98" s="415">
        <f>5697126+16985629+16551218+32866801+100000+660000+49357310</f>
        <v>122218084</v>
      </c>
      <c r="E98" s="308"/>
      <c r="F98" s="308"/>
    </row>
    <row r="99" spans="1:6" ht="12" customHeight="1" x14ac:dyDescent="0.25">
      <c r="A99" s="13" t="s">
        <v>118</v>
      </c>
      <c r="B99" s="7" t="s">
        <v>563</v>
      </c>
      <c r="C99" s="546">
        <f t="shared" si="2"/>
        <v>100000</v>
      </c>
      <c r="D99" s="415">
        <v>100000</v>
      </c>
      <c r="E99" s="308"/>
      <c r="F99" s="308"/>
    </row>
    <row r="100" spans="1:6" ht="12" customHeight="1" x14ac:dyDescent="0.25">
      <c r="A100" s="13" t="s">
        <v>119</v>
      </c>
      <c r="B100" s="108" t="s">
        <v>564</v>
      </c>
      <c r="C100" s="546">
        <f t="shared" si="2"/>
        <v>0</v>
      </c>
      <c r="D100" s="415"/>
      <c r="E100" s="308"/>
      <c r="F100" s="308"/>
    </row>
    <row r="101" spans="1:6" ht="12" customHeight="1" x14ac:dyDescent="0.25">
      <c r="A101" s="13" t="s">
        <v>129</v>
      </c>
      <c r="B101" s="108" t="s">
        <v>565</v>
      </c>
      <c r="C101" s="546">
        <f t="shared" si="2"/>
        <v>0</v>
      </c>
      <c r="D101" s="415"/>
      <c r="E101" s="308"/>
      <c r="F101" s="308"/>
    </row>
    <row r="102" spans="1:6" ht="12" customHeight="1" x14ac:dyDescent="0.25">
      <c r="A102" s="13" t="s">
        <v>130</v>
      </c>
      <c r="B102" s="106" t="s">
        <v>366</v>
      </c>
      <c r="C102" s="546">
        <f t="shared" si="2"/>
        <v>0</v>
      </c>
      <c r="D102" s="415"/>
      <c r="E102" s="308"/>
      <c r="F102" s="308"/>
    </row>
    <row r="103" spans="1:6" ht="12" customHeight="1" x14ac:dyDescent="0.25">
      <c r="A103" s="13" t="s">
        <v>131</v>
      </c>
      <c r="B103" s="107" t="s">
        <v>367</v>
      </c>
      <c r="C103" s="546">
        <f t="shared" si="2"/>
        <v>0</v>
      </c>
      <c r="D103" s="415"/>
      <c r="E103" s="308"/>
      <c r="F103" s="308"/>
    </row>
    <row r="104" spans="1:6" ht="12" customHeight="1" x14ac:dyDescent="0.25">
      <c r="A104" s="13" t="s">
        <v>132</v>
      </c>
      <c r="B104" s="107" t="s">
        <v>368</v>
      </c>
      <c r="C104" s="546">
        <f t="shared" si="2"/>
        <v>0</v>
      </c>
      <c r="D104" s="415"/>
      <c r="E104" s="308"/>
      <c r="F104" s="308"/>
    </row>
    <row r="105" spans="1:6" ht="12" customHeight="1" x14ac:dyDescent="0.25">
      <c r="A105" s="13" t="s">
        <v>134</v>
      </c>
      <c r="B105" s="106" t="s">
        <v>369</v>
      </c>
      <c r="C105" s="546">
        <f t="shared" si="2"/>
        <v>0</v>
      </c>
      <c r="D105" s="415"/>
      <c r="E105" s="308"/>
      <c r="F105" s="308"/>
    </row>
    <row r="106" spans="1:6" ht="12" customHeight="1" x14ac:dyDescent="0.25">
      <c r="A106" s="13" t="s">
        <v>193</v>
      </c>
      <c r="B106" s="106" t="s">
        <v>370</v>
      </c>
      <c r="C106" s="546">
        <f t="shared" si="2"/>
        <v>0</v>
      </c>
      <c r="D106" s="540"/>
      <c r="E106" s="308"/>
      <c r="F106" s="308"/>
    </row>
    <row r="107" spans="1:6" ht="12" customHeight="1" x14ac:dyDescent="0.25">
      <c r="A107" s="13" t="s">
        <v>364</v>
      </c>
      <c r="B107" s="107" t="s">
        <v>371</v>
      </c>
      <c r="C107" s="546">
        <f t="shared" si="2"/>
        <v>0</v>
      </c>
      <c r="D107" s="415"/>
      <c r="E107" s="308"/>
      <c r="F107" s="308"/>
    </row>
    <row r="108" spans="1:6" ht="12" customHeight="1" x14ac:dyDescent="0.25">
      <c r="A108" s="12" t="s">
        <v>365</v>
      </c>
      <c r="B108" s="108" t="s">
        <v>372</v>
      </c>
      <c r="C108" s="546">
        <f t="shared" si="2"/>
        <v>0</v>
      </c>
      <c r="D108" s="415"/>
      <c r="E108" s="308"/>
      <c r="F108" s="308"/>
    </row>
    <row r="109" spans="1:6" ht="12" customHeight="1" x14ac:dyDescent="0.25">
      <c r="A109" s="13" t="s">
        <v>566</v>
      </c>
      <c r="B109" s="108" t="s">
        <v>373</v>
      </c>
      <c r="C109" s="546">
        <f t="shared" si="2"/>
        <v>0</v>
      </c>
      <c r="D109" s="415"/>
      <c r="E109" s="308"/>
      <c r="F109" s="308"/>
    </row>
    <row r="110" spans="1:6" ht="12" customHeight="1" x14ac:dyDescent="0.25">
      <c r="A110" s="15" t="s">
        <v>567</v>
      </c>
      <c r="B110" s="108" t="s">
        <v>374</v>
      </c>
      <c r="C110" s="546">
        <f t="shared" si="2"/>
        <v>122118084</v>
      </c>
      <c r="D110" s="411">
        <f>5697126+16985629+16551218+32866801+660000+49357310</f>
        <v>122118084</v>
      </c>
      <c r="E110" s="237"/>
      <c r="F110" s="308"/>
    </row>
    <row r="111" spans="1:6" ht="12" customHeight="1" x14ac:dyDescent="0.25">
      <c r="A111" s="13" t="s">
        <v>568</v>
      </c>
      <c r="B111" s="7" t="s">
        <v>63</v>
      </c>
      <c r="C111" s="546">
        <f t="shared" si="2"/>
        <v>80846522</v>
      </c>
      <c r="D111" s="411">
        <f>SUM(D112:D113)</f>
        <v>80846522</v>
      </c>
      <c r="E111" s="237"/>
      <c r="F111" s="237">
        <f>SUM(F112:F113)</f>
        <v>0</v>
      </c>
    </row>
    <row r="112" spans="1:6" ht="12" customHeight="1" x14ac:dyDescent="0.25">
      <c r="A112" s="13" t="s">
        <v>569</v>
      </c>
      <c r="B112" s="7" t="s">
        <v>570</v>
      </c>
      <c r="C112" s="546">
        <f t="shared" si="2"/>
        <v>15000000</v>
      </c>
      <c r="D112" s="415">
        <v>15000000</v>
      </c>
      <c r="E112" s="308"/>
      <c r="F112" s="237"/>
    </row>
    <row r="113" spans="1:6" ht="12" customHeight="1" thickBot="1" x14ac:dyDescent="0.3">
      <c r="A113" s="17" t="s">
        <v>571</v>
      </c>
      <c r="B113" s="396" t="s">
        <v>572</v>
      </c>
      <c r="C113" s="547">
        <f t="shared" si="2"/>
        <v>65846522</v>
      </c>
      <c r="D113" s="529">
        <v>65846522</v>
      </c>
      <c r="E113" s="431"/>
      <c r="F113" s="431"/>
    </row>
    <row r="114" spans="1:6" ht="12" customHeight="1" thickBot="1" x14ac:dyDescent="0.3">
      <c r="A114" s="397" t="s">
        <v>32</v>
      </c>
      <c r="B114" s="398" t="s">
        <v>375</v>
      </c>
      <c r="C114" s="233">
        <f t="shared" si="2"/>
        <v>525102015</v>
      </c>
      <c r="D114" s="443">
        <f>+D115+D117+D119</f>
        <v>515828521</v>
      </c>
      <c r="E114" s="233">
        <f>+E115+E117+E119</f>
        <v>0</v>
      </c>
      <c r="F114" s="399">
        <f>+F115+F117+F119</f>
        <v>9273494</v>
      </c>
    </row>
    <row r="115" spans="1:6" ht="18.75" customHeight="1" x14ac:dyDescent="0.25">
      <c r="A115" s="14" t="s">
        <v>120</v>
      </c>
      <c r="B115" s="7" t="s">
        <v>236</v>
      </c>
      <c r="C115" s="545">
        <f t="shared" si="2"/>
        <v>276580332</v>
      </c>
      <c r="D115" s="451">
        <f>359410+2345001+219008101+381000+1500000+3139585+33894811+2338070+4950460</f>
        <v>267916438</v>
      </c>
      <c r="E115" s="357"/>
      <c r="F115" s="357">
        <v>8663894</v>
      </c>
    </row>
    <row r="116" spans="1:6" ht="12" customHeight="1" x14ac:dyDescent="0.25">
      <c r="A116" s="14" t="s">
        <v>121</v>
      </c>
      <c r="B116" s="11" t="s">
        <v>379</v>
      </c>
      <c r="C116" s="545">
        <f t="shared" si="2"/>
        <v>251505912</v>
      </c>
      <c r="D116" s="451">
        <f>218246101+33259811</f>
        <v>251505912</v>
      </c>
      <c r="E116" s="357"/>
      <c r="F116" s="357"/>
    </row>
    <row r="117" spans="1:6" ht="12" customHeight="1" x14ac:dyDescent="0.25">
      <c r="A117" s="14" t="s">
        <v>122</v>
      </c>
      <c r="B117" s="11" t="s">
        <v>194</v>
      </c>
      <c r="C117" s="545">
        <f t="shared" si="2"/>
        <v>182810962</v>
      </c>
      <c r="D117" s="411">
        <f>180701362+1500000</f>
        <v>182201362</v>
      </c>
      <c r="E117" s="237"/>
      <c r="F117" s="237">
        <v>609600</v>
      </c>
    </row>
    <row r="118" spans="1:6" ht="12" customHeight="1" x14ac:dyDescent="0.25">
      <c r="A118" s="14" t="s">
        <v>123</v>
      </c>
      <c r="B118" s="11" t="s">
        <v>380</v>
      </c>
      <c r="C118" s="545">
        <f t="shared" si="2"/>
        <v>146098020</v>
      </c>
      <c r="D118" s="411">
        <v>146098020</v>
      </c>
      <c r="E118" s="423"/>
      <c r="F118" s="423"/>
    </row>
    <row r="119" spans="1:6" ht="12" customHeight="1" x14ac:dyDescent="0.25">
      <c r="A119" s="14" t="s">
        <v>124</v>
      </c>
      <c r="B119" s="230" t="s">
        <v>238</v>
      </c>
      <c r="C119" s="546">
        <f t="shared" si="2"/>
        <v>65710721</v>
      </c>
      <c r="D119" s="415">
        <v>65710721</v>
      </c>
      <c r="E119" s="411"/>
      <c r="F119" s="411"/>
    </row>
    <row r="120" spans="1:6" ht="12" customHeight="1" x14ac:dyDescent="0.25">
      <c r="A120" s="14" t="s">
        <v>133</v>
      </c>
      <c r="B120" s="229" t="s">
        <v>442</v>
      </c>
      <c r="C120" s="546">
        <f t="shared" si="2"/>
        <v>0</v>
      </c>
      <c r="D120" s="217"/>
      <c r="E120" s="217"/>
      <c r="F120" s="217"/>
    </row>
    <row r="121" spans="1:6" ht="12" customHeight="1" x14ac:dyDescent="0.25">
      <c r="A121" s="14" t="s">
        <v>135</v>
      </c>
      <c r="B121" s="315" t="s">
        <v>385</v>
      </c>
      <c r="C121" s="546">
        <f t="shared" si="2"/>
        <v>0</v>
      </c>
      <c r="D121" s="217"/>
      <c r="E121" s="217"/>
      <c r="F121" s="217"/>
    </row>
    <row r="122" spans="1:6" x14ac:dyDescent="0.25">
      <c r="A122" s="14" t="s">
        <v>195</v>
      </c>
      <c r="B122" s="107" t="s">
        <v>368</v>
      </c>
      <c r="C122" s="546">
        <f t="shared" si="2"/>
        <v>0</v>
      </c>
      <c r="D122" s="217"/>
      <c r="E122" s="217"/>
      <c r="F122" s="217"/>
    </row>
    <row r="123" spans="1:6" ht="12" customHeight="1" x14ac:dyDescent="0.25">
      <c r="A123" s="14" t="s">
        <v>196</v>
      </c>
      <c r="B123" s="107" t="s">
        <v>384</v>
      </c>
      <c r="C123" s="546">
        <f t="shared" si="2"/>
        <v>0</v>
      </c>
      <c r="D123" s="217"/>
      <c r="E123" s="217"/>
      <c r="F123" s="217"/>
    </row>
    <row r="124" spans="1:6" ht="12" customHeight="1" x14ac:dyDescent="0.25">
      <c r="A124" s="14" t="s">
        <v>197</v>
      </c>
      <c r="B124" s="107" t="s">
        <v>383</v>
      </c>
      <c r="C124" s="546">
        <f t="shared" si="2"/>
        <v>0</v>
      </c>
      <c r="D124" s="217"/>
      <c r="E124" s="217"/>
      <c r="F124" s="217"/>
    </row>
    <row r="125" spans="1:6" ht="12" customHeight="1" x14ac:dyDescent="0.25">
      <c r="A125" s="14" t="s">
        <v>376</v>
      </c>
      <c r="B125" s="107" t="s">
        <v>371</v>
      </c>
      <c r="C125" s="546">
        <f t="shared" si="2"/>
        <v>0</v>
      </c>
      <c r="D125" s="217"/>
      <c r="E125" s="217"/>
      <c r="F125" s="217"/>
    </row>
    <row r="126" spans="1:6" ht="12" customHeight="1" x14ac:dyDescent="0.25">
      <c r="A126" s="14" t="s">
        <v>377</v>
      </c>
      <c r="B126" s="107" t="s">
        <v>382</v>
      </c>
      <c r="C126" s="546">
        <f t="shared" si="2"/>
        <v>0</v>
      </c>
      <c r="D126" s="217"/>
      <c r="E126" s="217"/>
      <c r="F126" s="217"/>
    </row>
    <row r="127" spans="1:6" ht="16.5" thickBot="1" x14ac:dyDescent="0.3">
      <c r="A127" s="12" t="s">
        <v>378</v>
      </c>
      <c r="B127" s="107" t="s">
        <v>381</v>
      </c>
      <c r="C127" s="547">
        <f t="shared" si="2"/>
        <v>65710721</v>
      </c>
      <c r="D127" s="218">
        <v>65710721</v>
      </c>
      <c r="E127" s="415"/>
      <c r="F127" s="218"/>
    </row>
    <row r="128" spans="1:6" ht="12" customHeight="1" thickBot="1" x14ac:dyDescent="0.3">
      <c r="A128" s="19" t="s">
        <v>33</v>
      </c>
      <c r="B128" s="98" t="s">
        <v>573</v>
      </c>
      <c r="C128" s="233">
        <f t="shared" si="2"/>
        <v>2068460463</v>
      </c>
      <c r="D128" s="443">
        <f>+D93+D114</f>
        <v>1103426426</v>
      </c>
      <c r="E128" s="233">
        <f>+E93+E114</f>
        <v>28754363</v>
      </c>
      <c r="F128" s="233">
        <f>+F93+F114</f>
        <v>936279674</v>
      </c>
    </row>
    <row r="129" spans="1:6" ht="12" customHeight="1" thickBot="1" x14ac:dyDescent="0.3">
      <c r="A129" s="19" t="s">
        <v>34</v>
      </c>
      <c r="B129" s="98" t="s">
        <v>574</v>
      </c>
      <c r="C129" s="554">
        <f t="shared" si="2"/>
        <v>104042704</v>
      </c>
      <c r="D129" s="443">
        <f>+D130+D131+D132</f>
        <v>104042704</v>
      </c>
      <c r="E129" s="233">
        <f>+E130+E131+E132</f>
        <v>0</v>
      </c>
      <c r="F129" s="233">
        <f>+F130+F131+F132</f>
        <v>0</v>
      </c>
    </row>
    <row r="130" spans="1:6" ht="12" customHeight="1" x14ac:dyDescent="0.25">
      <c r="A130" s="14" t="s">
        <v>276</v>
      </c>
      <c r="B130" s="11" t="s">
        <v>575</v>
      </c>
      <c r="C130" s="314">
        <f t="shared" si="2"/>
        <v>4042704</v>
      </c>
      <c r="D130" s="411">
        <v>4042704</v>
      </c>
      <c r="E130" s="411"/>
      <c r="F130" s="411"/>
    </row>
    <row r="131" spans="1:6" ht="12" customHeight="1" x14ac:dyDescent="0.25">
      <c r="A131" s="14" t="s">
        <v>279</v>
      </c>
      <c r="B131" s="11" t="s">
        <v>576</v>
      </c>
      <c r="C131" s="552">
        <f t="shared" si="2"/>
        <v>100000000</v>
      </c>
      <c r="D131" s="217">
        <v>100000000</v>
      </c>
      <c r="E131" s="217"/>
      <c r="F131" s="217"/>
    </row>
    <row r="132" spans="1:6" ht="12" customHeight="1" thickBot="1" x14ac:dyDescent="0.3">
      <c r="A132" s="12" t="s">
        <v>280</v>
      </c>
      <c r="B132" s="11" t="s">
        <v>577</v>
      </c>
      <c r="C132" s="553">
        <f t="shared" si="2"/>
        <v>0</v>
      </c>
      <c r="D132" s="217"/>
      <c r="E132" s="217"/>
      <c r="F132" s="217"/>
    </row>
    <row r="133" spans="1:6" ht="12" customHeight="1" thickBot="1" x14ac:dyDescent="0.3">
      <c r="A133" s="19" t="s">
        <v>35</v>
      </c>
      <c r="B133" s="98" t="s">
        <v>578</v>
      </c>
      <c r="C133" s="554">
        <f t="shared" si="2"/>
        <v>0</v>
      </c>
      <c r="D133" s="443">
        <f>+D134+D135+D136+D137+D138+D139</f>
        <v>0</v>
      </c>
      <c r="E133" s="233">
        <f>+E134+E135+E136+E137+E138+E139</f>
        <v>0</v>
      </c>
      <c r="F133" s="233">
        <f>SUM(F134:F139)</f>
        <v>0</v>
      </c>
    </row>
    <row r="134" spans="1:6" ht="12" customHeight="1" x14ac:dyDescent="0.25">
      <c r="A134" s="14" t="s">
        <v>107</v>
      </c>
      <c r="B134" s="8" t="s">
        <v>579</v>
      </c>
      <c r="C134" s="314">
        <f t="shared" si="2"/>
        <v>0</v>
      </c>
      <c r="D134" s="217"/>
      <c r="E134" s="217"/>
      <c r="F134" s="217"/>
    </row>
    <row r="135" spans="1:6" ht="12" customHeight="1" x14ac:dyDescent="0.25">
      <c r="A135" s="14" t="s">
        <v>108</v>
      </c>
      <c r="B135" s="8" t="s">
        <v>580</v>
      </c>
      <c r="C135" s="552">
        <f t="shared" si="2"/>
        <v>0</v>
      </c>
      <c r="D135" s="217"/>
      <c r="E135" s="217"/>
      <c r="F135" s="217"/>
    </row>
    <row r="136" spans="1:6" ht="12" customHeight="1" x14ac:dyDescent="0.25">
      <c r="A136" s="14" t="s">
        <v>109</v>
      </c>
      <c r="B136" s="8" t="s">
        <v>581</v>
      </c>
      <c r="C136" s="552">
        <f t="shared" si="2"/>
        <v>0</v>
      </c>
      <c r="D136" s="217"/>
      <c r="E136" s="217"/>
      <c r="F136" s="217"/>
    </row>
    <row r="137" spans="1:6" ht="12" customHeight="1" x14ac:dyDescent="0.25">
      <c r="A137" s="14" t="s">
        <v>182</v>
      </c>
      <c r="B137" s="8" t="s">
        <v>582</v>
      </c>
      <c r="C137" s="552">
        <f t="shared" si="2"/>
        <v>0</v>
      </c>
      <c r="D137" s="217"/>
      <c r="E137" s="217"/>
      <c r="F137" s="217"/>
    </row>
    <row r="138" spans="1:6" ht="12" customHeight="1" x14ac:dyDescent="0.25">
      <c r="A138" s="14" t="s">
        <v>183</v>
      </c>
      <c r="B138" s="8" t="s">
        <v>583</v>
      </c>
      <c r="C138" s="552">
        <f t="shared" si="2"/>
        <v>0</v>
      </c>
      <c r="D138" s="217"/>
      <c r="E138" s="217"/>
      <c r="F138" s="217"/>
    </row>
    <row r="139" spans="1:6" ht="12" customHeight="1" thickBot="1" x14ac:dyDescent="0.3">
      <c r="A139" s="12" t="s">
        <v>184</v>
      </c>
      <c r="B139" s="8" t="s">
        <v>584</v>
      </c>
      <c r="C139" s="553">
        <f t="shared" si="2"/>
        <v>0</v>
      </c>
      <c r="D139" s="217"/>
      <c r="E139" s="217"/>
      <c r="F139" s="217"/>
    </row>
    <row r="140" spans="1:6" ht="12" customHeight="1" thickBot="1" x14ac:dyDescent="0.3">
      <c r="A140" s="19" t="s">
        <v>36</v>
      </c>
      <c r="B140" s="98" t="s">
        <v>585</v>
      </c>
      <c r="C140" s="233">
        <f t="shared" si="2"/>
        <v>38167591</v>
      </c>
      <c r="D140" s="448">
        <f>+D141+D142+D143+D144</f>
        <v>38167591</v>
      </c>
      <c r="E140" s="238">
        <f>+E141+E142+E143+E144</f>
        <v>0</v>
      </c>
      <c r="F140" s="238">
        <f>+F141+F142+F143+F144</f>
        <v>0</v>
      </c>
    </row>
    <row r="141" spans="1:6" ht="12" customHeight="1" x14ac:dyDescent="0.25">
      <c r="A141" s="14" t="s">
        <v>110</v>
      </c>
      <c r="B141" s="8" t="s">
        <v>386</v>
      </c>
      <c r="C141" s="314">
        <f t="shared" si="2"/>
        <v>0</v>
      </c>
      <c r="D141" s="217"/>
      <c r="E141" s="217"/>
      <c r="F141" s="217"/>
    </row>
    <row r="142" spans="1:6" ht="12" customHeight="1" x14ac:dyDescent="0.25">
      <c r="A142" s="14" t="s">
        <v>111</v>
      </c>
      <c r="B142" s="8" t="s">
        <v>387</v>
      </c>
      <c r="C142" s="552">
        <f t="shared" si="2"/>
        <v>38167591</v>
      </c>
      <c r="D142" s="217">
        <v>38167591</v>
      </c>
      <c r="E142" s="217"/>
      <c r="F142" s="217"/>
    </row>
    <row r="143" spans="1:6" ht="12" customHeight="1" x14ac:dyDescent="0.25">
      <c r="A143" s="14" t="s">
        <v>300</v>
      </c>
      <c r="B143" s="8" t="s">
        <v>586</v>
      </c>
      <c r="C143" s="552">
        <f t="shared" si="2"/>
        <v>0</v>
      </c>
      <c r="D143" s="217"/>
      <c r="E143" s="217"/>
      <c r="F143" s="217"/>
    </row>
    <row r="144" spans="1:6" ht="12" customHeight="1" thickBot="1" x14ac:dyDescent="0.3">
      <c r="A144" s="12" t="s">
        <v>301</v>
      </c>
      <c r="B144" s="6" t="s">
        <v>405</v>
      </c>
      <c r="C144" s="553">
        <f t="shared" si="2"/>
        <v>0</v>
      </c>
      <c r="D144" s="217"/>
      <c r="E144" s="217"/>
      <c r="F144" s="217"/>
    </row>
    <row r="145" spans="1:9" ht="12" customHeight="1" thickBot="1" x14ac:dyDescent="0.3">
      <c r="A145" s="19" t="s">
        <v>37</v>
      </c>
      <c r="B145" s="98" t="s">
        <v>587</v>
      </c>
      <c r="C145" s="554">
        <f t="shared" si="2"/>
        <v>0</v>
      </c>
      <c r="D145" s="459">
        <f>+D146+D147+D148+D149+D150</f>
        <v>0</v>
      </c>
      <c r="E145" s="241">
        <f>+E146+E147+E148+E149+E150</f>
        <v>0</v>
      </c>
      <c r="F145" s="241">
        <f>SUM(F146:F150)</f>
        <v>0</v>
      </c>
    </row>
    <row r="146" spans="1:9" ht="12" customHeight="1" x14ac:dyDescent="0.25">
      <c r="A146" s="14" t="s">
        <v>112</v>
      </c>
      <c r="B146" s="8" t="s">
        <v>588</v>
      </c>
      <c r="C146" s="314">
        <f t="shared" si="2"/>
        <v>0</v>
      </c>
      <c r="D146" s="217"/>
      <c r="E146" s="217"/>
      <c r="F146" s="217"/>
    </row>
    <row r="147" spans="1:9" ht="12" customHeight="1" x14ac:dyDescent="0.25">
      <c r="A147" s="14" t="s">
        <v>113</v>
      </c>
      <c r="B147" s="8" t="s">
        <v>589</v>
      </c>
      <c r="C147" s="552">
        <f t="shared" si="2"/>
        <v>0</v>
      </c>
      <c r="D147" s="217"/>
      <c r="E147" s="217"/>
      <c r="F147" s="217"/>
    </row>
    <row r="148" spans="1:9" ht="12" customHeight="1" x14ac:dyDescent="0.25">
      <c r="A148" s="14" t="s">
        <v>312</v>
      </c>
      <c r="B148" s="8" t="s">
        <v>590</v>
      </c>
      <c r="C148" s="552">
        <f t="shared" si="2"/>
        <v>0</v>
      </c>
      <c r="D148" s="217"/>
      <c r="E148" s="217"/>
      <c r="F148" s="217"/>
    </row>
    <row r="149" spans="1:9" ht="12" customHeight="1" x14ac:dyDescent="0.25">
      <c r="A149" s="14" t="s">
        <v>313</v>
      </c>
      <c r="B149" s="8" t="s">
        <v>591</v>
      </c>
      <c r="C149" s="552">
        <f t="shared" si="2"/>
        <v>0</v>
      </c>
      <c r="D149" s="217"/>
      <c r="E149" s="217"/>
      <c r="F149" s="217"/>
    </row>
    <row r="150" spans="1:9" ht="12" customHeight="1" thickBot="1" x14ac:dyDescent="0.3">
      <c r="A150" s="14" t="s">
        <v>592</v>
      </c>
      <c r="B150" s="8" t="s">
        <v>593</v>
      </c>
      <c r="C150" s="553">
        <f t="shared" si="2"/>
        <v>0</v>
      </c>
      <c r="D150" s="218"/>
      <c r="E150" s="218"/>
      <c r="F150" s="217"/>
    </row>
    <row r="151" spans="1:9" ht="12" customHeight="1" thickBot="1" x14ac:dyDescent="0.3">
      <c r="A151" s="19" t="s">
        <v>38</v>
      </c>
      <c r="B151" s="98" t="s">
        <v>594</v>
      </c>
      <c r="C151" s="233">
        <f t="shared" si="2"/>
        <v>0</v>
      </c>
      <c r="D151" s="459"/>
      <c r="E151" s="241"/>
      <c r="F151" s="400"/>
    </row>
    <row r="152" spans="1:9" ht="12" customHeight="1" thickBot="1" x14ac:dyDescent="0.3">
      <c r="A152" s="19" t="s">
        <v>39</v>
      </c>
      <c r="B152" s="98" t="s">
        <v>595</v>
      </c>
      <c r="C152" s="232">
        <f t="shared" si="2"/>
        <v>0</v>
      </c>
      <c r="D152" s="459"/>
      <c r="E152" s="241"/>
      <c r="F152" s="400"/>
    </row>
    <row r="153" spans="1:9" ht="15" customHeight="1" thickBot="1" x14ac:dyDescent="0.3">
      <c r="A153" s="19" t="s">
        <v>40</v>
      </c>
      <c r="B153" s="98" t="s">
        <v>596</v>
      </c>
      <c r="C153" s="232">
        <f t="shared" si="2"/>
        <v>142210295</v>
      </c>
      <c r="D153" s="461">
        <f>+D129+D133+D140+D145+D151+D152</f>
        <v>142210295</v>
      </c>
      <c r="E153" s="329">
        <f>+E129+E133+E140+E145+E151+E152</f>
        <v>0</v>
      </c>
      <c r="F153" s="329">
        <f>+F129+F133+F140+F145+F151+F152</f>
        <v>0</v>
      </c>
      <c r="G153" s="330"/>
      <c r="H153" s="330"/>
      <c r="I153" s="330"/>
    </row>
    <row r="154" spans="1:9" s="318" customFormat="1" ht="12.95" customHeight="1" thickBot="1" x14ac:dyDescent="0.25">
      <c r="A154" s="231" t="s">
        <v>41</v>
      </c>
      <c r="B154" s="304" t="s">
        <v>597</v>
      </c>
      <c r="C154" s="233">
        <f t="shared" si="2"/>
        <v>2210670758</v>
      </c>
      <c r="D154" s="461">
        <f>+D128+D153</f>
        <v>1245636721</v>
      </c>
      <c r="E154" s="329">
        <f>+E128+E153</f>
        <v>28754363</v>
      </c>
      <c r="F154" s="329">
        <f>+F128+F153</f>
        <v>936279674</v>
      </c>
    </row>
    <row r="155" spans="1:9" ht="7.5" customHeight="1" x14ac:dyDescent="0.25"/>
    <row r="156" spans="1:9" x14ac:dyDescent="0.25">
      <c r="A156" s="1173" t="s">
        <v>388</v>
      </c>
      <c r="B156" s="1173"/>
      <c r="C156" s="1173"/>
    </row>
    <row r="157" spans="1:9" ht="15" customHeight="1" thickBot="1" x14ac:dyDescent="0.3">
      <c r="A157" s="1170" t="s">
        <v>163</v>
      </c>
      <c r="B157" s="1170"/>
      <c r="C157" s="242" t="s">
        <v>688</v>
      </c>
    </row>
    <row r="158" spans="1:9" ht="13.5" customHeight="1" thickBot="1" x14ac:dyDescent="0.3">
      <c r="A158" s="19">
        <v>1</v>
      </c>
      <c r="B158" s="24" t="s">
        <v>598</v>
      </c>
      <c r="C158" s="233">
        <f>+C62-C128</f>
        <v>-285224319</v>
      </c>
    </row>
    <row r="159" spans="1:9" ht="27.75" customHeight="1" thickBot="1" x14ac:dyDescent="0.3">
      <c r="A159" s="19" t="s">
        <v>32</v>
      </c>
      <c r="B159" s="24" t="s">
        <v>599</v>
      </c>
      <c r="C159" s="233">
        <f>+C86-C153</f>
        <v>628471060</v>
      </c>
    </row>
    <row r="160" spans="1:9" x14ac:dyDescent="0.25">
      <c r="F160" s="55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1.2. melléklet a  ../.....(.......)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B1" zoomScaleNormal="130" workbookViewId="0">
      <selection activeCell="C42" sqref="C42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196" customWidth="1"/>
    <col min="4" max="16384" width="9.33203125" style="196"/>
  </cols>
  <sheetData>
    <row r="1" spans="1:3" s="175" customFormat="1" ht="21" customHeight="1" thickBot="1" x14ac:dyDescent="0.25">
      <c r="A1" s="174"/>
      <c r="B1" s="176"/>
      <c r="C1" s="351"/>
    </row>
    <row r="2" spans="1:3" s="352" customFormat="1" ht="35.25" customHeight="1" x14ac:dyDescent="0.2">
      <c r="A2" s="309" t="s">
        <v>210</v>
      </c>
      <c r="B2" s="282" t="s">
        <v>627</v>
      </c>
      <c r="C2" s="296" t="s">
        <v>74</v>
      </c>
    </row>
    <row r="3" spans="1:3" s="352" customFormat="1" ht="24.75" thickBot="1" x14ac:dyDescent="0.25">
      <c r="A3" s="345" t="s">
        <v>209</v>
      </c>
      <c r="B3" s="283" t="s">
        <v>431</v>
      </c>
      <c r="C3" s="297" t="s">
        <v>74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2005440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245">
        <f>1198440+380000</f>
        <v>1578440</v>
      </c>
    </row>
    <row r="11" spans="1:3" s="298" customFormat="1" ht="12" customHeight="1" x14ac:dyDescent="0.2">
      <c r="A11" s="347" t="s">
        <v>116</v>
      </c>
      <c r="B11" s="7" t="s">
        <v>291</v>
      </c>
      <c r="C11" s="245"/>
    </row>
    <row r="12" spans="1:3" s="298" customFormat="1" ht="12" customHeight="1" x14ac:dyDescent="0.2">
      <c r="A12" s="347" t="s">
        <v>117</v>
      </c>
      <c r="B12" s="7" t="s">
        <v>292</v>
      </c>
      <c r="C12" s="245"/>
    </row>
    <row r="13" spans="1:3" s="298" customFormat="1" ht="12" customHeight="1" x14ac:dyDescent="0.2">
      <c r="A13" s="347" t="s">
        <v>158</v>
      </c>
      <c r="B13" s="7" t="s">
        <v>293</v>
      </c>
      <c r="C13" s="245"/>
    </row>
    <row r="14" spans="1:3" s="298" customFormat="1" ht="12" customHeight="1" x14ac:dyDescent="0.2">
      <c r="A14" s="347" t="s">
        <v>118</v>
      </c>
      <c r="B14" s="7" t="s">
        <v>414</v>
      </c>
      <c r="C14" s="245">
        <f>324000+103000</f>
        <v>427000</v>
      </c>
    </row>
    <row r="15" spans="1:3" s="298" customFormat="1" ht="12" customHeight="1" x14ac:dyDescent="0.2">
      <c r="A15" s="347" t="s">
        <v>119</v>
      </c>
      <c r="B15" s="6" t="s">
        <v>415</v>
      </c>
      <c r="C15" s="245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/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3096237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60">
        <v>3096237</v>
      </c>
    </row>
    <row r="24" spans="1:3" s="355" customFormat="1" ht="12" customHeight="1" thickBot="1" x14ac:dyDescent="0.25">
      <c r="A24" s="347" t="s">
        <v>123</v>
      </c>
      <c r="B24" s="7" t="s">
        <v>629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630</v>
      </c>
      <c r="C26" s="247">
        <f>+C27+C28+C29</f>
        <v>0</v>
      </c>
    </row>
    <row r="27" spans="1:3" s="355" customFormat="1" ht="12" customHeight="1" x14ac:dyDescent="0.2">
      <c r="A27" s="348" t="s">
        <v>276</v>
      </c>
      <c r="B27" s="349" t="s">
        <v>271</v>
      </c>
      <c r="C27" s="57"/>
    </row>
    <row r="28" spans="1:3" s="355" customFormat="1" ht="12" customHeight="1" x14ac:dyDescent="0.2">
      <c r="A28" s="348" t="s">
        <v>279</v>
      </c>
      <c r="B28" s="349" t="s">
        <v>417</v>
      </c>
      <c r="C28" s="245"/>
    </row>
    <row r="29" spans="1:3" s="355" customFormat="1" ht="12" customHeight="1" x14ac:dyDescent="0.2">
      <c r="A29" s="348" t="s">
        <v>280</v>
      </c>
      <c r="B29" s="350" t="s">
        <v>419</v>
      </c>
      <c r="C29" s="245"/>
    </row>
    <row r="30" spans="1:3" s="355" customFormat="1" ht="12" customHeight="1" thickBot="1" x14ac:dyDescent="0.25">
      <c r="A30" s="347" t="s">
        <v>281</v>
      </c>
      <c r="B30" s="105" t="s">
        <v>631</v>
      </c>
      <c r="C30" s="64"/>
    </row>
    <row r="31" spans="1:3" s="355" customFormat="1" ht="12" customHeight="1" thickBot="1" x14ac:dyDescent="0.25">
      <c r="A31" s="152" t="s">
        <v>35</v>
      </c>
      <c r="B31" s="98" t="s">
        <v>420</v>
      </c>
      <c r="C31" s="247">
        <f>+C32+C33+C34</f>
        <v>0</v>
      </c>
    </row>
    <row r="32" spans="1:3" s="355" customFormat="1" ht="12" customHeight="1" x14ac:dyDescent="0.2">
      <c r="A32" s="348" t="s">
        <v>107</v>
      </c>
      <c r="B32" s="349" t="s">
        <v>303</v>
      </c>
      <c r="C32" s="57"/>
    </row>
    <row r="33" spans="1:3" s="355" customFormat="1" ht="12" customHeight="1" x14ac:dyDescent="0.2">
      <c r="A33" s="348" t="s">
        <v>108</v>
      </c>
      <c r="B33" s="350" t="s">
        <v>304</v>
      </c>
      <c r="C33" s="248"/>
    </row>
    <row r="34" spans="1:3" s="355" customFormat="1" ht="12" customHeight="1" thickBot="1" x14ac:dyDescent="0.25">
      <c r="A34" s="347" t="s">
        <v>109</v>
      </c>
      <c r="B34" s="105" t="s">
        <v>305</v>
      </c>
      <c r="C34" s="64"/>
    </row>
    <row r="35" spans="1:3" s="298" customFormat="1" ht="12" customHeight="1" thickBot="1" x14ac:dyDescent="0.25">
      <c r="A35" s="152" t="s">
        <v>36</v>
      </c>
      <c r="B35" s="98" t="s">
        <v>391</v>
      </c>
      <c r="C35" s="272"/>
    </row>
    <row r="36" spans="1:3" s="298" customFormat="1" ht="12" customHeight="1" thickBot="1" x14ac:dyDescent="0.25">
      <c r="A36" s="152" t="s">
        <v>37</v>
      </c>
      <c r="B36" s="98" t="s">
        <v>421</v>
      </c>
      <c r="C36" s="289"/>
    </row>
    <row r="37" spans="1:3" s="298" customFormat="1" ht="12" customHeight="1" thickBot="1" x14ac:dyDescent="0.25">
      <c r="A37" s="145" t="s">
        <v>38</v>
      </c>
      <c r="B37" s="98" t="s">
        <v>422</v>
      </c>
      <c r="C37" s="290">
        <f>+C8+C20+C25+C26+C31+C35+C36</f>
        <v>5101677</v>
      </c>
    </row>
    <row r="38" spans="1:3" s="298" customFormat="1" ht="12" customHeight="1" thickBot="1" x14ac:dyDescent="0.25">
      <c r="A38" s="186" t="s">
        <v>39</v>
      </c>
      <c r="B38" s="98" t="s">
        <v>423</v>
      </c>
      <c r="C38" s="290">
        <f>+C39+C40+C41</f>
        <v>23652686</v>
      </c>
    </row>
    <row r="39" spans="1:3" s="298" customFormat="1" ht="12" customHeight="1" x14ac:dyDescent="0.2">
      <c r="A39" s="348" t="s">
        <v>424</v>
      </c>
      <c r="B39" s="349" t="s">
        <v>245</v>
      </c>
      <c r="C39" s="57">
        <v>3148853</v>
      </c>
    </row>
    <row r="40" spans="1:3" s="298" customFormat="1" ht="12" customHeight="1" x14ac:dyDescent="0.2">
      <c r="A40" s="348" t="s">
        <v>425</v>
      </c>
      <c r="B40" s="350" t="s">
        <v>15</v>
      </c>
      <c r="C40" s="248"/>
    </row>
    <row r="41" spans="1:3" s="355" customFormat="1" ht="12" customHeight="1" thickBot="1" x14ac:dyDescent="0.25">
      <c r="A41" s="347" t="s">
        <v>426</v>
      </c>
      <c r="B41" s="105" t="s">
        <v>427</v>
      </c>
      <c r="C41" s="64">
        <v>20503833</v>
      </c>
    </row>
    <row r="42" spans="1:3" s="355" customFormat="1" ht="15" customHeight="1" thickBot="1" x14ac:dyDescent="0.25">
      <c r="A42" s="186" t="s">
        <v>40</v>
      </c>
      <c r="B42" s="187" t="s">
        <v>428</v>
      </c>
      <c r="C42" s="293">
        <f>+C37+C38</f>
        <v>28754363</v>
      </c>
    </row>
    <row r="43" spans="1:3" s="355" customFormat="1" ht="15" customHeight="1" x14ac:dyDescent="0.2">
      <c r="A43" s="188"/>
      <c r="B43" s="189"/>
      <c r="C43" s="291"/>
    </row>
    <row r="44" spans="1:3" ht="13.5" thickBot="1" x14ac:dyDescent="0.25">
      <c r="A44" s="190"/>
      <c r="B44" s="191"/>
      <c r="C44" s="292"/>
    </row>
    <row r="45" spans="1:3" s="354" customFormat="1" ht="16.5" customHeight="1" thickBot="1" x14ac:dyDescent="0.25">
      <c r="A45" s="192"/>
      <c r="B45" s="193" t="s">
        <v>71</v>
      </c>
      <c r="C45" s="293"/>
    </row>
    <row r="46" spans="1:3" s="356" customFormat="1" ht="12" customHeight="1" thickBot="1" x14ac:dyDescent="0.25">
      <c r="A46" s="152" t="s">
        <v>31</v>
      </c>
      <c r="B46" s="98" t="s">
        <v>429</v>
      </c>
      <c r="C46" s="247">
        <f>SUM(C47:C51)</f>
        <v>28754363</v>
      </c>
    </row>
    <row r="47" spans="1:3" ht="12" customHeight="1" x14ac:dyDescent="0.2">
      <c r="A47" s="347" t="s">
        <v>114</v>
      </c>
      <c r="B47" s="8" t="s">
        <v>62</v>
      </c>
      <c r="C47" s="57">
        <f>481000+2215000</f>
        <v>2696000</v>
      </c>
    </row>
    <row r="48" spans="1:3" ht="12" customHeight="1" x14ac:dyDescent="0.2">
      <c r="A48" s="347" t="s">
        <v>115</v>
      </c>
      <c r="B48" s="7" t="s">
        <v>190</v>
      </c>
      <c r="C48" s="60">
        <f>114000+461687</f>
        <v>575687</v>
      </c>
    </row>
    <row r="49" spans="1:3" ht="12" customHeight="1" x14ac:dyDescent="0.2">
      <c r="A49" s="347" t="s">
        <v>116</v>
      </c>
      <c r="B49" s="7" t="s">
        <v>151</v>
      </c>
      <c r="C49" s="60">
        <f>324000+352000+137126+419550</f>
        <v>1232676</v>
      </c>
    </row>
    <row r="50" spans="1:3" ht="12" customHeight="1" x14ac:dyDescent="0.2">
      <c r="A50" s="347" t="s">
        <v>117</v>
      </c>
      <c r="B50" s="7" t="s">
        <v>191</v>
      </c>
      <c r="C50" s="60">
        <v>24250000</v>
      </c>
    </row>
    <row r="51" spans="1:3" ht="12" customHeight="1" thickBot="1" x14ac:dyDescent="0.25">
      <c r="A51" s="347" t="s">
        <v>158</v>
      </c>
      <c r="B51" s="7" t="s">
        <v>192</v>
      </c>
      <c r="C51" s="60"/>
    </row>
    <row r="52" spans="1:3" ht="12" customHeight="1" thickBot="1" x14ac:dyDescent="0.25">
      <c r="A52" s="152" t="s">
        <v>32</v>
      </c>
      <c r="B52" s="98" t="s">
        <v>430</v>
      </c>
      <c r="C52" s="247">
        <f>SUM(C53:C55)</f>
        <v>0</v>
      </c>
    </row>
    <row r="53" spans="1:3" s="356" customFormat="1" ht="12" customHeight="1" x14ac:dyDescent="0.2">
      <c r="A53" s="347" t="s">
        <v>120</v>
      </c>
      <c r="B53" s="8" t="s">
        <v>236</v>
      </c>
      <c r="C53" s="57"/>
    </row>
    <row r="54" spans="1:3" ht="12" customHeight="1" x14ac:dyDescent="0.2">
      <c r="A54" s="347" t="s">
        <v>121</v>
      </c>
      <c r="B54" s="7" t="s">
        <v>194</v>
      </c>
      <c r="C54" s="60"/>
    </row>
    <row r="55" spans="1:3" ht="12" customHeight="1" x14ac:dyDescent="0.2">
      <c r="A55" s="347" t="s">
        <v>122</v>
      </c>
      <c r="B55" s="7" t="s">
        <v>72</v>
      </c>
      <c r="C55" s="60"/>
    </row>
    <row r="56" spans="1:3" ht="12" customHeight="1" thickBot="1" x14ac:dyDescent="0.25">
      <c r="A56" s="347" t="s">
        <v>123</v>
      </c>
      <c r="B56" s="7" t="s">
        <v>632</v>
      </c>
      <c r="C56" s="60"/>
    </row>
    <row r="57" spans="1:3" ht="15" customHeight="1" thickBot="1" x14ac:dyDescent="0.25">
      <c r="A57" s="152" t="s">
        <v>33</v>
      </c>
      <c r="B57" s="98" t="s">
        <v>25</v>
      </c>
      <c r="C57" s="272"/>
    </row>
    <row r="58" spans="1:3" ht="13.5" thickBot="1" x14ac:dyDescent="0.25">
      <c r="A58" s="152" t="s">
        <v>34</v>
      </c>
      <c r="B58" s="194" t="s">
        <v>633</v>
      </c>
      <c r="C58" s="294">
        <f>+C46+C52+C57</f>
        <v>28754363</v>
      </c>
    </row>
    <row r="59" spans="1:3" ht="15" customHeight="1" thickBot="1" x14ac:dyDescent="0.25">
      <c r="C59" s="295"/>
    </row>
    <row r="60" spans="1:3" ht="14.25" customHeight="1" thickBot="1" x14ac:dyDescent="0.25">
      <c r="A60" s="197" t="s">
        <v>625</v>
      </c>
      <c r="B60" s="198"/>
      <c r="C60" s="96"/>
    </row>
    <row r="61" spans="1:3" ht="13.5" thickBot="1" x14ac:dyDescent="0.25">
      <c r="A61" s="197" t="s">
        <v>212</v>
      </c>
      <c r="B61" s="198"/>
      <c r="C61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&amp;R9.2.1. melléklet a ../......(.......)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activeCell="C9" sqref="C9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683" customWidth="1"/>
    <col min="4" max="16384" width="9.33203125" style="196"/>
  </cols>
  <sheetData>
    <row r="1" spans="1:3" s="175" customFormat="1" ht="21" customHeight="1" thickBot="1" x14ac:dyDescent="0.25">
      <c r="A1" s="174"/>
      <c r="B1" s="176"/>
      <c r="C1" s="351"/>
    </row>
    <row r="2" spans="1:3" s="352" customFormat="1" ht="35.25" customHeight="1" x14ac:dyDescent="0.2">
      <c r="A2" s="309" t="s">
        <v>210</v>
      </c>
      <c r="B2" s="282" t="s">
        <v>627</v>
      </c>
      <c r="C2" s="296" t="s">
        <v>74</v>
      </c>
    </row>
    <row r="3" spans="1:3" s="352" customFormat="1" ht="24.75" thickBot="1" x14ac:dyDescent="0.25">
      <c r="A3" s="345" t="s">
        <v>209</v>
      </c>
      <c r="B3" s="283" t="s">
        <v>432</v>
      </c>
      <c r="C3" s="297" t="s">
        <v>75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635000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245">
        <v>500000</v>
      </c>
    </row>
    <row r="11" spans="1:3" s="298" customFormat="1" ht="12" customHeight="1" x14ac:dyDescent="0.2">
      <c r="A11" s="347" t="s">
        <v>116</v>
      </c>
      <c r="B11" s="7" t="s">
        <v>291</v>
      </c>
      <c r="C11" s="245"/>
    </row>
    <row r="12" spans="1:3" s="298" customFormat="1" ht="12" customHeight="1" x14ac:dyDescent="0.2">
      <c r="A12" s="347" t="s">
        <v>117</v>
      </c>
      <c r="B12" s="7" t="s">
        <v>292</v>
      </c>
      <c r="C12" s="245"/>
    </row>
    <row r="13" spans="1:3" s="298" customFormat="1" ht="12" customHeight="1" x14ac:dyDescent="0.2">
      <c r="A13" s="347" t="s">
        <v>158</v>
      </c>
      <c r="B13" s="7" t="s">
        <v>293</v>
      </c>
      <c r="C13" s="245"/>
    </row>
    <row r="14" spans="1:3" s="298" customFormat="1" ht="12" customHeight="1" x14ac:dyDescent="0.2">
      <c r="A14" s="347" t="s">
        <v>118</v>
      </c>
      <c r="B14" s="7" t="s">
        <v>414</v>
      </c>
      <c r="C14" s="245">
        <v>135000</v>
      </c>
    </row>
    <row r="15" spans="1:3" s="298" customFormat="1" ht="12" customHeight="1" x14ac:dyDescent="0.2">
      <c r="A15" s="347" t="s">
        <v>119</v>
      </c>
      <c r="B15" s="6" t="s">
        <v>415</v>
      </c>
      <c r="C15" s="245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/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245"/>
    </row>
    <row r="24" spans="1:3" s="355" customFormat="1" ht="12" customHeight="1" thickBot="1" x14ac:dyDescent="0.25">
      <c r="A24" s="347" t="s">
        <v>123</v>
      </c>
      <c r="B24" s="7" t="s">
        <v>629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630</v>
      </c>
      <c r="C26" s="247">
        <f>+C27+C28+C29</f>
        <v>0</v>
      </c>
    </row>
    <row r="27" spans="1:3" s="355" customFormat="1" ht="12" customHeight="1" x14ac:dyDescent="0.2">
      <c r="A27" s="348" t="s">
        <v>276</v>
      </c>
      <c r="B27" s="349" t="s">
        <v>271</v>
      </c>
      <c r="C27" s="57"/>
    </row>
    <row r="28" spans="1:3" s="355" customFormat="1" ht="12" customHeight="1" x14ac:dyDescent="0.2">
      <c r="A28" s="348" t="s">
        <v>279</v>
      </c>
      <c r="B28" s="349" t="s">
        <v>417</v>
      </c>
      <c r="C28" s="245"/>
    </row>
    <row r="29" spans="1:3" s="355" customFormat="1" ht="12" customHeight="1" x14ac:dyDescent="0.2">
      <c r="A29" s="348" t="s">
        <v>280</v>
      </c>
      <c r="B29" s="350" t="s">
        <v>419</v>
      </c>
      <c r="C29" s="245"/>
    </row>
    <row r="30" spans="1:3" s="355" customFormat="1" ht="12" customHeight="1" thickBot="1" x14ac:dyDescent="0.25">
      <c r="A30" s="347" t="s">
        <v>281</v>
      </c>
      <c r="B30" s="105" t="s">
        <v>631</v>
      </c>
      <c r="C30" s="64"/>
    </row>
    <row r="31" spans="1:3" s="355" customFormat="1" ht="12" customHeight="1" thickBot="1" x14ac:dyDescent="0.25">
      <c r="A31" s="152" t="s">
        <v>35</v>
      </c>
      <c r="B31" s="98" t="s">
        <v>420</v>
      </c>
      <c r="C31" s="247">
        <f>+C32+C33+C34</f>
        <v>0</v>
      </c>
    </row>
    <row r="32" spans="1:3" s="355" customFormat="1" ht="12" customHeight="1" x14ac:dyDescent="0.2">
      <c r="A32" s="348" t="s">
        <v>107</v>
      </c>
      <c r="B32" s="349" t="s">
        <v>303</v>
      </c>
      <c r="C32" s="57"/>
    </row>
    <row r="33" spans="1:3" s="355" customFormat="1" ht="12" customHeight="1" x14ac:dyDescent="0.2">
      <c r="A33" s="348" t="s">
        <v>108</v>
      </c>
      <c r="B33" s="350" t="s">
        <v>304</v>
      </c>
      <c r="C33" s="248"/>
    </row>
    <row r="34" spans="1:3" s="355" customFormat="1" ht="12" customHeight="1" thickBot="1" x14ac:dyDescent="0.25">
      <c r="A34" s="347" t="s">
        <v>109</v>
      </c>
      <c r="B34" s="105" t="s">
        <v>305</v>
      </c>
      <c r="C34" s="64"/>
    </row>
    <row r="35" spans="1:3" s="298" customFormat="1" ht="12" customHeight="1" thickBot="1" x14ac:dyDescent="0.25">
      <c r="A35" s="152" t="s">
        <v>36</v>
      </c>
      <c r="B35" s="98" t="s">
        <v>391</v>
      </c>
      <c r="C35" s="272"/>
    </row>
    <row r="36" spans="1:3" s="298" customFormat="1" ht="12" customHeight="1" thickBot="1" x14ac:dyDescent="0.25">
      <c r="A36" s="152" t="s">
        <v>37</v>
      </c>
      <c r="B36" s="98" t="s">
        <v>421</v>
      </c>
      <c r="C36" s="289"/>
    </row>
    <row r="37" spans="1:3" s="298" customFormat="1" ht="12" customHeight="1" thickBot="1" x14ac:dyDescent="0.25">
      <c r="A37" s="145" t="s">
        <v>38</v>
      </c>
      <c r="B37" s="98" t="s">
        <v>422</v>
      </c>
      <c r="C37" s="290">
        <f>+C8+C20+C25+C26+C31+C35+C36</f>
        <v>635000</v>
      </c>
    </row>
    <row r="38" spans="1:3" s="298" customFormat="1" ht="12" customHeight="1" thickBot="1" x14ac:dyDescent="0.25">
      <c r="A38" s="186" t="s">
        <v>39</v>
      </c>
      <c r="B38" s="98" t="s">
        <v>423</v>
      </c>
      <c r="C38" s="290">
        <f>+C39+C40+C41</f>
        <v>6432754</v>
      </c>
    </row>
    <row r="39" spans="1:3" s="298" customFormat="1" ht="12" customHeight="1" x14ac:dyDescent="0.2">
      <c r="A39" s="348" t="s">
        <v>424</v>
      </c>
      <c r="B39" s="349" t="s">
        <v>245</v>
      </c>
      <c r="C39" s="57"/>
    </row>
    <row r="40" spans="1:3" s="298" customFormat="1" ht="12" customHeight="1" x14ac:dyDescent="0.2">
      <c r="A40" s="348" t="s">
        <v>425</v>
      </c>
      <c r="B40" s="350" t="s">
        <v>15</v>
      </c>
      <c r="C40" s="248"/>
    </row>
    <row r="41" spans="1:3" s="355" customFormat="1" ht="12" customHeight="1" thickBot="1" x14ac:dyDescent="0.25">
      <c r="A41" s="347" t="s">
        <v>426</v>
      </c>
      <c r="B41" s="105" t="s">
        <v>427</v>
      </c>
      <c r="C41" s="64">
        <v>6432754</v>
      </c>
    </row>
    <row r="42" spans="1:3" s="355" customFormat="1" ht="15" customHeight="1" thickBot="1" x14ac:dyDescent="0.25">
      <c r="A42" s="186" t="s">
        <v>40</v>
      </c>
      <c r="B42" s="187" t="s">
        <v>428</v>
      </c>
      <c r="C42" s="293">
        <f>+C37+C38</f>
        <v>7067754</v>
      </c>
    </row>
    <row r="43" spans="1:3" s="355" customFormat="1" ht="15" customHeight="1" x14ac:dyDescent="0.2">
      <c r="A43" s="188"/>
      <c r="B43" s="189"/>
      <c r="C43" s="291"/>
    </row>
    <row r="44" spans="1:3" ht="13.5" thickBot="1" x14ac:dyDescent="0.25">
      <c r="A44" s="190"/>
      <c r="B44" s="191"/>
      <c r="C44" s="292"/>
    </row>
    <row r="45" spans="1:3" s="354" customFormat="1" ht="16.5" customHeight="1" thickBot="1" x14ac:dyDescent="0.25">
      <c r="A45" s="192"/>
      <c r="B45" s="193" t="s">
        <v>71</v>
      </c>
      <c r="C45" s="293"/>
    </row>
    <row r="46" spans="1:3" s="356" customFormat="1" ht="12" customHeight="1" thickBot="1" x14ac:dyDescent="0.25">
      <c r="A46" s="152" t="s">
        <v>31</v>
      </c>
      <c r="B46" s="98" t="s">
        <v>429</v>
      </c>
      <c r="C46" s="247">
        <f>SUM(C47:C51)</f>
        <v>7067754</v>
      </c>
    </row>
    <row r="47" spans="1:3" ht="12" customHeight="1" x14ac:dyDescent="0.2">
      <c r="A47" s="347" t="s">
        <v>114</v>
      </c>
      <c r="B47" s="8" t="s">
        <v>62</v>
      </c>
      <c r="C47" s="57">
        <v>2528076</v>
      </c>
    </row>
    <row r="48" spans="1:3" ht="12" customHeight="1" x14ac:dyDescent="0.2">
      <c r="A48" s="347" t="s">
        <v>115</v>
      </c>
      <c r="B48" s="7" t="s">
        <v>190</v>
      </c>
      <c r="C48" s="60">
        <v>443678</v>
      </c>
    </row>
    <row r="49" spans="1:3" ht="12" customHeight="1" x14ac:dyDescent="0.2">
      <c r="A49" s="347" t="s">
        <v>116</v>
      </c>
      <c r="B49" s="7" t="s">
        <v>151</v>
      </c>
      <c r="C49" s="60">
        <v>4096000</v>
      </c>
    </row>
    <row r="50" spans="1:3" ht="12" customHeight="1" x14ac:dyDescent="0.2">
      <c r="A50" s="347" t="s">
        <v>117</v>
      </c>
      <c r="B50" s="7" t="s">
        <v>191</v>
      </c>
      <c r="C50" s="60"/>
    </row>
    <row r="51" spans="1:3" ht="12" customHeight="1" thickBot="1" x14ac:dyDescent="0.25">
      <c r="A51" s="347" t="s">
        <v>158</v>
      </c>
      <c r="B51" s="7" t="s">
        <v>192</v>
      </c>
      <c r="C51" s="60"/>
    </row>
    <row r="52" spans="1:3" ht="12" customHeight="1" thickBot="1" x14ac:dyDescent="0.25">
      <c r="A52" s="152" t="s">
        <v>32</v>
      </c>
      <c r="B52" s="98" t="s">
        <v>430</v>
      </c>
      <c r="C52" s="247">
        <f>SUM(C53:C55)</f>
        <v>0</v>
      </c>
    </row>
    <row r="53" spans="1:3" s="356" customFormat="1" ht="12" customHeight="1" x14ac:dyDescent="0.2">
      <c r="A53" s="347" t="s">
        <v>120</v>
      </c>
      <c r="B53" s="8" t="s">
        <v>236</v>
      </c>
      <c r="C53" s="57"/>
    </row>
    <row r="54" spans="1:3" ht="12" customHeight="1" x14ac:dyDescent="0.2">
      <c r="A54" s="347" t="s">
        <v>121</v>
      </c>
      <c r="B54" s="7" t="s">
        <v>194</v>
      </c>
      <c r="C54" s="60"/>
    </row>
    <row r="55" spans="1:3" ht="12" customHeight="1" x14ac:dyDescent="0.2">
      <c r="A55" s="347" t="s">
        <v>122</v>
      </c>
      <c r="B55" s="7" t="s">
        <v>72</v>
      </c>
      <c r="C55" s="60"/>
    </row>
    <row r="56" spans="1:3" ht="12" customHeight="1" thickBot="1" x14ac:dyDescent="0.25">
      <c r="A56" s="347" t="s">
        <v>123</v>
      </c>
      <c r="B56" s="7" t="s">
        <v>632</v>
      </c>
      <c r="C56" s="60"/>
    </row>
    <row r="57" spans="1:3" ht="15" customHeight="1" thickBot="1" x14ac:dyDescent="0.25">
      <c r="A57" s="152" t="s">
        <v>33</v>
      </c>
      <c r="B57" s="98" t="s">
        <v>25</v>
      </c>
      <c r="C57" s="272"/>
    </row>
    <row r="58" spans="1:3" ht="13.5" thickBot="1" x14ac:dyDescent="0.25">
      <c r="A58" s="152" t="s">
        <v>34</v>
      </c>
      <c r="B58" s="194" t="s">
        <v>633</v>
      </c>
      <c r="C58" s="294">
        <f>+C46+C52+C57</f>
        <v>7067754</v>
      </c>
    </row>
    <row r="59" spans="1:3" ht="15" customHeight="1" thickBot="1" x14ac:dyDescent="0.25">
      <c r="C59" s="682"/>
    </row>
    <row r="60" spans="1:3" ht="14.25" customHeight="1" thickBot="1" x14ac:dyDescent="0.25">
      <c r="A60" s="197" t="s">
        <v>625</v>
      </c>
      <c r="B60" s="198"/>
      <c r="C60" s="96"/>
    </row>
    <row r="61" spans="1:3" ht="13.5" thickBot="1" x14ac:dyDescent="0.25">
      <c r="A61" s="197" t="s">
        <v>212</v>
      </c>
      <c r="B61" s="198"/>
      <c r="C61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&amp;R9.2.2. melléklet a ../......(.......)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C61" sqref="C61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683" customWidth="1"/>
    <col min="4" max="16384" width="9.33203125" style="196"/>
  </cols>
  <sheetData>
    <row r="1" spans="1:3" s="175" customFormat="1" ht="21" customHeight="1" thickBot="1" x14ac:dyDescent="0.25">
      <c r="A1" s="174"/>
      <c r="B1" s="176"/>
      <c r="C1" s="351"/>
    </row>
    <row r="2" spans="1:3" s="352" customFormat="1" ht="33.75" customHeight="1" x14ac:dyDescent="0.2">
      <c r="A2" s="309" t="s">
        <v>210</v>
      </c>
      <c r="B2" s="282" t="s">
        <v>627</v>
      </c>
      <c r="C2" s="296" t="s">
        <v>74</v>
      </c>
    </row>
    <row r="3" spans="1:3" s="352" customFormat="1" ht="24.75" thickBot="1" x14ac:dyDescent="0.25">
      <c r="A3" s="345" t="s">
        <v>209</v>
      </c>
      <c r="B3" s="283" t="s">
        <v>634</v>
      </c>
      <c r="C3" s="297" t="s">
        <v>445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5779000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60">
        <v>4150000</v>
      </c>
    </row>
    <row r="11" spans="1:3" s="298" customFormat="1" ht="12" customHeight="1" x14ac:dyDescent="0.2">
      <c r="A11" s="347" t="s">
        <v>116</v>
      </c>
      <c r="B11" s="7" t="s">
        <v>291</v>
      </c>
      <c r="C11" s="60">
        <v>300000</v>
      </c>
    </row>
    <row r="12" spans="1:3" s="298" customFormat="1" ht="12" customHeight="1" x14ac:dyDescent="0.2">
      <c r="A12" s="347" t="s">
        <v>117</v>
      </c>
      <c r="B12" s="7" t="s">
        <v>292</v>
      </c>
      <c r="C12" s="60"/>
    </row>
    <row r="13" spans="1:3" s="298" customFormat="1" ht="12" customHeight="1" x14ac:dyDescent="0.2">
      <c r="A13" s="347" t="s">
        <v>158</v>
      </c>
      <c r="B13" s="7" t="s">
        <v>293</v>
      </c>
      <c r="C13" s="60"/>
    </row>
    <row r="14" spans="1:3" s="298" customFormat="1" ht="12" customHeight="1" x14ac:dyDescent="0.2">
      <c r="A14" s="347" t="s">
        <v>118</v>
      </c>
      <c r="B14" s="7" t="s">
        <v>414</v>
      </c>
      <c r="C14" s="60">
        <v>1229000</v>
      </c>
    </row>
    <row r="15" spans="1:3" s="298" customFormat="1" ht="12" customHeight="1" x14ac:dyDescent="0.2">
      <c r="A15" s="347" t="s">
        <v>119</v>
      </c>
      <c r="B15" s="6" t="s">
        <v>415</v>
      </c>
      <c r="C15" s="60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>
        <v>100000</v>
      </c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245"/>
    </row>
    <row r="24" spans="1:3" s="355" customFormat="1" ht="12" customHeight="1" thickBot="1" x14ac:dyDescent="0.25">
      <c r="A24" s="347" t="s">
        <v>123</v>
      </c>
      <c r="B24" s="7" t="s">
        <v>629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630</v>
      </c>
      <c r="C26" s="247">
        <f>+C27+C28+C29</f>
        <v>0</v>
      </c>
    </row>
    <row r="27" spans="1:3" s="355" customFormat="1" ht="12" customHeight="1" x14ac:dyDescent="0.2">
      <c r="A27" s="348" t="s">
        <v>276</v>
      </c>
      <c r="B27" s="349" t="s">
        <v>271</v>
      </c>
      <c r="C27" s="57"/>
    </row>
    <row r="28" spans="1:3" s="355" customFormat="1" ht="12" customHeight="1" x14ac:dyDescent="0.2">
      <c r="A28" s="348" t="s">
        <v>279</v>
      </c>
      <c r="B28" s="349" t="s">
        <v>417</v>
      </c>
      <c r="C28" s="245"/>
    </row>
    <row r="29" spans="1:3" s="355" customFormat="1" ht="12" customHeight="1" x14ac:dyDescent="0.2">
      <c r="A29" s="348" t="s">
        <v>280</v>
      </c>
      <c r="B29" s="350" t="s">
        <v>419</v>
      </c>
      <c r="C29" s="245"/>
    </row>
    <row r="30" spans="1:3" s="355" customFormat="1" ht="12" customHeight="1" thickBot="1" x14ac:dyDescent="0.25">
      <c r="A30" s="347" t="s">
        <v>281</v>
      </c>
      <c r="B30" s="105" t="s">
        <v>631</v>
      </c>
      <c r="C30" s="64"/>
    </row>
    <row r="31" spans="1:3" s="355" customFormat="1" ht="12" customHeight="1" thickBot="1" x14ac:dyDescent="0.25">
      <c r="A31" s="152" t="s">
        <v>35</v>
      </c>
      <c r="B31" s="98" t="s">
        <v>420</v>
      </c>
      <c r="C31" s="247">
        <f>+C32+C33+C34</f>
        <v>0</v>
      </c>
    </row>
    <row r="32" spans="1:3" s="355" customFormat="1" ht="12" customHeight="1" x14ac:dyDescent="0.2">
      <c r="A32" s="348" t="s">
        <v>107</v>
      </c>
      <c r="B32" s="349" t="s">
        <v>303</v>
      </c>
      <c r="C32" s="57"/>
    </row>
    <row r="33" spans="1:4" s="355" customFormat="1" ht="12" customHeight="1" x14ac:dyDescent="0.2">
      <c r="A33" s="348" t="s">
        <v>108</v>
      </c>
      <c r="B33" s="350" t="s">
        <v>304</v>
      </c>
      <c r="C33" s="248"/>
    </row>
    <row r="34" spans="1:4" s="355" customFormat="1" ht="12" customHeight="1" thickBot="1" x14ac:dyDescent="0.25">
      <c r="A34" s="347" t="s">
        <v>109</v>
      </c>
      <c r="B34" s="105" t="s">
        <v>305</v>
      </c>
      <c r="C34" s="64"/>
    </row>
    <row r="35" spans="1:4" s="298" customFormat="1" ht="12" customHeight="1" thickBot="1" x14ac:dyDescent="0.25">
      <c r="A35" s="152" t="s">
        <v>36</v>
      </c>
      <c r="B35" s="98" t="s">
        <v>391</v>
      </c>
      <c r="C35" s="272"/>
    </row>
    <row r="36" spans="1:4" s="298" customFormat="1" ht="12" customHeight="1" thickBot="1" x14ac:dyDescent="0.25">
      <c r="A36" s="152" t="s">
        <v>37</v>
      </c>
      <c r="B36" s="98" t="s">
        <v>421</v>
      </c>
      <c r="C36" s="289"/>
    </row>
    <row r="37" spans="1:4" s="298" customFormat="1" ht="12" customHeight="1" thickBot="1" x14ac:dyDescent="0.25">
      <c r="A37" s="145" t="s">
        <v>38</v>
      </c>
      <c r="B37" s="98" t="s">
        <v>422</v>
      </c>
      <c r="C37" s="290">
        <f>+C8+C20+C25+C26+C31+C35+C36</f>
        <v>5779000</v>
      </c>
    </row>
    <row r="38" spans="1:4" s="298" customFormat="1" ht="12" customHeight="1" thickBot="1" x14ac:dyDescent="0.25">
      <c r="A38" s="186" t="s">
        <v>39</v>
      </c>
      <c r="B38" s="98" t="s">
        <v>423</v>
      </c>
      <c r="C38" s="290">
        <f>+C39+C40+C41</f>
        <v>202666658</v>
      </c>
    </row>
    <row r="39" spans="1:4" s="298" customFormat="1" ht="12" customHeight="1" x14ac:dyDescent="0.2">
      <c r="A39" s="348" t="s">
        <v>424</v>
      </c>
      <c r="B39" s="349" t="s">
        <v>245</v>
      </c>
      <c r="C39" s="57"/>
      <c r="D39" s="422"/>
    </row>
    <row r="40" spans="1:4" s="298" customFormat="1" ht="12" customHeight="1" x14ac:dyDescent="0.2">
      <c r="A40" s="348" t="s">
        <v>425</v>
      </c>
      <c r="B40" s="350" t="s">
        <v>15</v>
      </c>
      <c r="C40" s="248"/>
    </row>
    <row r="41" spans="1:4" s="355" customFormat="1" ht="12" customHeight="1" thickBot="1" x14ac:dyDescent="0.25">
      <c r="A41" s="347" t="s">
        <v>426</v>
      </c>
      <c r="B41" s="105" t="s">
        <v>427</v>
      </c>
      <c r="C41" s="64">
        <v>202666658</v>
      </c>
    </row>
    <row r="42" spans="1:4" s="355" customFormat="1" ht="15" customHeight="1" thickBot="1" x14ac:dyDescent="0.25">
      <c r="A42" s="186" t="s">
        <v>40</v>
      </c>
      <c r="B42" s="187" t="s">
        <v>428</v>
      </c>
      <c r="C42" s="293">
        <f>+C37+C38</f>
        <v>208445658</v>
      </c>
    </row>
    <row r="43" spans="1:4" s="355" customFormat="1" ht="15" customHeight="1" x14ac:dyDescent="0.2">
      <c r="A43" s="188"/>
      <c r="B43" s="189"/>
      <c r="C43" s="291"/>
    </row>
    <row r="44" spans="1:4" ht="13.5" thickBot="1" x14ac:dyDescent="0.25">
      <c r="A44" s="190"/>
      <c r="B44" s="191"/>
      <c r="C44" s="292"/>
    </row>
    <row r="45" spans="1:4" s="354" customFormat="1" ht="16.5" customHeight="1" thickBot="1" x14ac:dyDescent="0.25">
      <c r="A45" s="192"/>
      <c r="B45" s="193" t="s">
        <v>71</v>
      </c>
      <c r="C45" s="293"/>
    </row>
    <row r="46" spans="1:4" s="356" customFormat="1" ht="12" customHeight="1" thickBot="1" x14ac:dyDescent="0.25">
      <c r="A46" s="152" t="s">
        <v>31</v>
      </c>
      <c r="B46" s="98" t="s">
        <v>429</v>
      </c>
      <c r="C46" s="247">
        <f>SUM(C47:C51)</f>
        <v>203525678</v>
      </c>
    </row>
    <row r="47" spans="1:4" ht="12" customHeight="1" x14ac:dyDescent="0.2">
      <c r="A47" s="347" t="s">
        <v>114</v>
      </c>
      <c r="B47" s="8" t="s">
        <v>62</v>
      </c>
      <c r="C47" s="57">
        <v>134654515</v>
      </c>
    </row>
    <row r="48" spans="1:4" ht="12" customHeight="1" x14ac:dyDescent="0.2">
      <c r="A48" s="347" t="s">
        <v>115</v>
      </c>
      <c r="B48" s="7" t="s">
        <v>190</v>
      </c>
      <c r="C48" s="60">
        <v>28757160</v>
      </c>
    </row>
    <row r="49" spans="1:3" ht="12" customHeight="1" x14ac:dyDescent="0.2">
      <c r="A49" s="347" t="s">
        <v>116</v>
      </c>
      <c r="B49" s="7" t="s">
        <v>151</v>
      </c>
      <c r="C49" s="60">
        <v>40114003</v>
      </c>
    </row>
    <row r="50" spans="1:3" ht="12" customHeight="1" x14ac:dyDescent="0.2">
      <c r="A50" s="347" t="s">
        <v>117</v>
      </c>
      <c r="B50" s="7" t="s">
        <v>191</v>
      </c>
      <c r="C50" s="60"/>
    </row>
    <row r="51" spans="1:3" ht="12" customHeight="1" thickBot="1" x14ac:dyDescent="0.25">
      <c r="A51" s="347" t="s">
        <v>158</v>
      </c>
      <c r="B51" s="7" t="s">
        <v>192</v>
      </c>
      <c r="C51" s="60"/>
    </row>
    <row r="52" spans="1:3" ht="12" customHeight="1" thickBot="1" x14ac:dyDescent="0.25">
      <c r="A52" s="152" t="s">
        <v>32</v>
      </c>
      <c r="B52" s="98" t="s">
        <v>430</v>
      </c>
      <c r="C52" s="247">
        <f>SUM(C53:C55)</f>
        <v>4919980</v>
      </c>
    </row>
    <row r="53" spans="1:3" s="356" customFormat="1" ht="12" customHeight="1" x14ac:dyDescent="0.2">
      <c r="A53" s="347" t="s">
        <v>120</v>
      </c>
      <c r="B53" s="8" t="s">
        <v>236</v>
      </c>
      <c r="C53" s="57">
        <v>4919980</v>
      </c>
    </row>
    <row r="54" spans="1:3" ht="12" customHeight="1" x14ac:dyDescent="0.2">
      <c r="A54" s="347" t="s">
        <v>121</v>
      </c>
      <c r="B54" s="7" t="s">
        <v>194</v>
      </c>
      <c r="C54" s="60"/>
    </row>
    <row r="55" spans="1:3" ht="12" customHeight="1" x14ac:dyDescent="0.2">
      <c r="A55" s="347" t="s">
        <v>122</v>
      </c>
      <c r="B55" s="7" t="s">
        <v>72</v>
      </c>
      <c r="C55" s="60"/>
    </row>
    <row r="56" spans="1:3" ht="12" customHeight="1" thickBot="1" x14ac:dyDescent="0.25">
      <c r="A56" s="347" t="s">
        <v>123</v>
      </c>
      <c r="B56" s="7" t="s">
        <v>632</v>
      </c>
      <c r="C56" s="60"/>
    </row>
    <row r="57" spans="1:3" ht="15" customHeight="1" thickBot="1" x14ac:dyDescent="0.25">
      <c r="A57" s="152" t="s">
        <v>33</v>
      </c>
      <c r="B57" s="98" t="s">
        <v>25</v>
      </c>
      <c r="C57" s="272"/>
    </row>
    <row r="58" spans="1:3" ht="13.5" thickBot="1" x14ac:dyDescent="0.25">
      <c r="A58" s="152" t="s">
        <v>34</v>
      </c>
      <c r="B58" s="194" t="s">
        <v>633</v>
      </c>
      <c r="C58" s="294">
        <f>+C46+C52+C57</f>
        <v>208445658</v>
      </c>
    </row>
    <row r="59" spans="1:3" ht="15" customHeight="1" thickBot="1" x14ac:dyDescent="0.25">
      <c r="C59" s="682"/>
    </row>
    <row r="60" spans="1:3" ht="14.25" customHeight="1" thickBot="1" x14ac:dyDescent="0.25">
      <c r="A60" s="197" t="s">
        <v>625</v>
      </c>
      <c r="B60" s="198"/>
      <c r="C60" s="96">
        <v>46</v>
      </c>
    </row>
    <row r="61" spans="1:3" ht="13.5" thickBot="1" x14ac:dyDescent="0.25">
      <c r="A61" s="197" t="s">
        <v>212</v>
      </c>
      <c r="B61" s="198"/>
      <c r="C61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9.2.3. melléklet a ../....(......)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3" customHeight="1" x14ac:dyDescent="0.2">
      <c r="A2" s="309" t="s">
        <v>210</v>
      </c>
      <c r="B2" s="282" t="s">
        <v>472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11615878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850000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4200000</v>
      </c>
    </row>
    <row r="12" spans="1:3" s="298" customFormat="1" ht="12" customHeight="1" x14ac:dyDescent="0.2">
      <c r="A12" s="347" t="s">
        <v>117</v>
      </c>
      <c r="B12" s="7" t="s">
        <v>292</v>
      </c>
      <c r="C12" s="732">
        <v>0</v>
      </c>
    </row>
    <row r="13" spans="1:3" s="298" customFormat="1" ht="12" customHeight="1" x14ac:dyDescent="0.2">
      <c r="A13" s="347" t="s">
        <v>158</v>
      </c>
      <c r="B13" s="7" t="s">
        <v>293</v>
      </c>
      <c r="C13" s="732">
        <v>638880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1535998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4390000</v>
      </c>
    </row>
    <row r="16" spans="1:3" s="298" customFormat="1" ht="12" customHeight="1" x14ac:dyDescent="0.2">
      <c r="A16" s="347" t="s">
        <v>129</v>
      </c>
      <c r="B16" s="7" t="s">
        <v>296</v>
      </c>
      <c r="C16" s="732">
        <v>1000</v>
      </c>
    </row>
    <row r="17" spans="1:3" s="355" customFormat="1" ht="12" customHeight="1" x14ac:dyDescent="0.2">
      <c r="A17" s="347" t="s">
        <v>130</v>
      </c>
      <c r="B17" s="7" t="s">
        <v>297</v>
      </c>
      <c r="C17" s="732">
        <v>0</v>
      </c>
    </row>
    <row r="18" spans="1:3" s="355" customFormat="1" ht="12" customHeight="1" x14ac:dyDescent="0.2">
      <c r="A18" s="347" t="s">
        <v>131</v>
      </c>
      <c r="B18" s="7" t="s">
        <v>555</v>
      </c>
      <c r="C18" s="732">
        <v>0</v>
      </c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2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11615878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289822891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665045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289157846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301438769</v>
      </c>
    </row>
    <row r="42" spans="1:3" s="355" customFormat="1" ht="15" customHeight="1" x14ac:dyDescent="0.2">
      <c r="A42" s="188"/>
      <c r="B42" s="189"/>
      <c r="C42" s="741"/>
    </row>
    <row r="43" spans="1:3" ht="13.5" thickBot="1" x14ac:dyDescent="0.25">
      <c r="A43" s="190"/>
      <c r="B43" s="191"/>
      <c r="C43" s="742"/>
    </row>
    <row r="44" spans="1:3" s="354" customFormat="1" ht="16.5" customHeight="1" thickBot="1" x14ac:dyDescent="0.25">
      <c r="A44" s="192"/>
      <c r="B44" s="193" t="s">
        <v>71</v>
      </c>
      <c r="C44" s="743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298671789</v>
      </c>
    </row>
    <row r="46" spans="1:3" ht="12" customHeight="1" x14ac:dyDescent="0.2">
      <c r="A46" s="347" t="s">
        <v>114</v>
      </c>
      <c r="B46" s="8" t="s">
        <v>62</v>
      </c>
      <c r="C46" s="869">
        <v>187166011</v>
      </c>
    </row>
    <row r="47" spans="1:3" ht="12" customHeight="1" x14ac:dyDescent="0.2">
      <c r="A47" s="347" t="s">
        <v>115</v>
      </c>
      <c r="B47" s="7" t="s">
        <v>190</v>
      </c>
      <c r="C47" s="1013">
        <v>40197175</v>
      </c>
    </row>
    <row r="48" spans="1:3" ht="12" customHeight="1" x14ac:dyDescent="0.2">
      <c r="A48" s="347" t="s">
        <v>116</v>
      </c>
      <c r="B48" s="7" t="s">
        <v>151</v>
      </c>
      <c r="C48" s="865">
        <v>71308603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732"/>
    </row>
    <row r="51" spans="1:3" ht="12" customHeight="1" thickBot="1" x14ac:dyDescent="0.25">
      <c r="A51" s="152" t="s">
        <v>32</v>
      </c>
      <c r="B51" s="98" t="s">
        <v>430</v>
      </c>
      <c r="C51" s="750">
        <f>SUM(C52:C54)</f>
        <v>2766980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2157380</v>
      </c>
    </row>
    <row r="53" spans="1:3" ht="12" customHeight="1" x14ac:dyDescent="0.2">
      <c r="A53" s="347" t="s">
        <v>121</v>
      </c>
      <c r="B53" s="7" t="s">
        <v>194</v>
      </c>
      <c r="C53" s="732">
        <v>609600</v>
      </c>
    </row>
    <row r="54" spans="1:3" ht="12" customHeight="1" x14ac:dyDescent="0.2">
      <c r="A54" s="347" t="s">
        <v>122</v>
      </c>
      <c r="B54" s="7" t="s">
        <v>72</v>
      </c>
      <c r="C54" s="732"/>
    </row>
    <row r="55" spans="1:3" ht="12" customHeight="1" thickBot="1" x14ac:dyDescent="0.25">
      <c r="A55" s="347" t="s">
        <v>123</v>
      </c>
      <c r="B55" s="7" t="s">
        <v>632</v>
      </c>
      <c r="C55" s="732"/>
    </row>
    <row r="56" spans="1:3" ht="15" customHeight="1" thickBot="1" x14ac:dyDescent="0.25">
      <c r="A56" s="152" t="s">
        <v>33</v>
      </c>
      <c r="B56" s="98" t="s">
        <v>25</v>
      </c>
      <c r="C56" s="751"/>
    </row>
    <row r="57" spans="1:3" ht="13.5" thickBot="1" x14ac:dyDescent="0.25">
      <c r="A57" s="152" t="s">
        <v>34</v>
      </c>
      <c r="B57" s="194" t="s">
        <v>633</v>
      </c>
      <c r="C57" s="750">
        <f>+C45+C51+C56</f>
        <v>301438769</v>
      </c>
    </row>
    <row r="58" spans="1:3" ht="15" customHeight="1" thickBot="1" x14ac:dyDescent="0.25">
      <c r="C58" s="866"/>
    </row>
    <row r="59" spans="1:3" ht="14.25" customHeight="1" thickBot="1" x14ac:dyDescent="0.25">
      <c r="A59" s="197" t="s">
        <v>625</v>
      </c>
      <c r="B59" s="198"/>
      <c r="C59" s="745">
        <v>54</v>
      </c>
    </row>
    <row r="60" spans="1:3" ht="13.5" thickBot="1" x14ac:dyDescent="0.25">
      <c r="A60" s="197" t="s">
        <v>212</v>
      </c>
      <c r="B60" s="198"/>
      <c r="C60" s="74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&amp;R9.3. melléklet a ../.....(.....)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3.75" customHeight="1" x14ac:dyDescent="0.2">
      <c r="A2" s="309" t="s">
        <v>210</v>
      </c>
      <c r="B2" s="282" t="s">
        <v>472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11298378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600000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4200000</v>
      </c>
    </row>
    <row r="12" spans="1:3" s="298" customFormat="1" ht="12" customHeight="1" x14ac:dyDescent="0.2">
      <c r="A12" s="347" t="s">
        <v>117</v>
      </c>
      <c r="B12" s="7" t="s">
        <v>292</v>
      </c>
      <c r="C12" s="732">
        <v>0</v>
      </c>
    </row>
    <row r="13" spans="1:3" s="298" customFormat="1" ht="12" customHeight="1" x14ac:dyDescent="0.2">
      <c r="A13" s="347" t="s">
        <v>158</v>
      </c>
      <c r="B13" s="7" t="s">
        <v>293</v>
      </c>
      <c r="C13" s="732">
        <v>638880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1468498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4390000</v>
      </c>
    </row>
    <row r="16" spans="1:3" s="298" customFormat="1" ht="12" customHeight="1" x14ac:dyDescent="0.2">
      <c r="A16" s="347" t="s">
        <v>129</v>
      </c>
      <c r="B16" s="7" t="s">
        <v>296</v>
      </c>
      <c r="C16" s="732">
        <v>1000</v>
      </c>
    </row>
    <row r="17" spans="1:3" s="355" customFormat="1" ht="12" customHeight="1" x14ac:dyDescent="0.2">
      <c r="A17" s="347" t="s">
        <v>130</v>
      </c>
      <c r="B17" s="7" t="s">
        <v>297</v>
      </c>
      <c r="C17" s="732">
        <v>0</v>
      </c>
    </row>
    <row r="18" spans="1:3" s="355" customFormat="1" ht="12" customHeight="1" x14ac:dyDescent="0.2">
      <c r="A18" s="347" t="s">
        <v>131</v>
      </c>
      <c r="B18" s="7" t="s">
        <v>555</v>
      </c>
      <c r="C18" s="732">
        <v>0</v>
      </c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2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11298378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289822891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665045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289157846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301121269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298354289</v>
      </c>
    </row>
    <row r="46" spans="1:3" ht="12" customHeight="1" x14ac:dyDescent="0.2">
      <c r="A46" s="347" t="s">
        <v>114</v>
      </c>
      <c r="B46" s="8" t="s">
        <v>62</v>
      </c>
      <c r="C46" s="869">
        <v>187166011</v>
      </c>
    </row>
    <row r="47" spans="1:3" ht="12" customHeight="1" x14ac:dyDescent="0.2">
      <c r="A47" s="347" t="s">
        <v>115</v>
      </c>
      <c r="B47" s="7" t="s">
        <v>190</v>
      </c>
      <c r="C47" s="1013">
        <v>40197175</v>
      </c>
    </row>
    <row r="48" spans="1:3" ht="12" customHeight="1" x14ac:dyDescent="0.2">
      <c r="A48" s="347" t="s">
        <v>116</v>
      </c>
      <c r="B48" s="7" t="s">
        <v>151</v>
      </c>
      <c r="C48" s="865">
        <v>70991103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732"/>
    </row>
    <row r="51" spans="1:3" ht="12" customHeight="1" thickBot="1" x14ac:dyDescent="0.25">
      <c r="A51" s="152" t="s">
        <v>32</v>
      </c>
      <c r="B51" s="98" t="s">
        <v>430</v>
      </c>
      <c r="C51" s="750">
        <f>SUM(C52:C54)</f>
        <v>2766980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2157380</v>
      </c>
    </row>
    <row r="53" spans="1:3" ht="12" customHeight="1" x14ac:dyDescent="0.2">
      <c r="A53" s="347" t="s">
        <v>121</v>
      </c>
      <c r="B53" s="7" t="s">
        <v>194</v>
      </c>
      <c r="C53" s="732">
        <v>609600</v>
      </c>
    </row>
    <row r="54" spans="1:3" ht="12" customHeight="1" x14ac:dyDescent="0.2">
      <c r="A54" s="347" t="s">
        <v>122</v>
      </c>
      <c r="B54" s="7" t="s">
        <v>72</v>
      </c>
      <c r="C54" s="732"/>
    </row>
    <row r="55" spans="1:3" ht="12" customHeight="1" thickBot="1" x14ac:dyDescent="0.25">
      <c r="A55" s="347" t="s">
        <v>123</v>
      </c>
      <c r="B55" s="7" t="s">
        <v>632</v>
      </c>
      <c r="C55" s="732"/>
    </row>
    <row r="56" spans="1:3" ht="15" customHeight="1" thickBot="1" x14ac:dyDescent="0.25">
      <c r="A56" s="152" t="s">
        <v>33</v>
      </c>
      <c r="B56" s="98" t="s">
        <v>25</v>
      </c>
      <c r="C56" s="751"/>
    </row>
    <row r="57" spans="1:3" ht="13.5" thickBot="1" x14ac:dyDescent="0.25">
      <c r="A57" s="152" t="s">
        <v>34</v>
      </c>
      <c r="B57" s="194" t="s">
        <v>633</v>
      </c>
      <c r="C57" s="750">
        <f>+C45+C51+C56</f>
        <v>301121269</v>
      </c>
    </row>
    <row r="58" spans="1:3" ht="15" customHeight="1" thickBot="1" x14ac:dyDescent="0.25">
      <c r="C58" s="866"/>
    </row>
    <row r="59" spans="1:3" ht="14.25" customHeight="1" thickBot="1" x14ac:dyDescent="0.25">
      <c r="A59" s="197" t="s">
        <v>625</v>
      </c>
      <c r="B59" s="198"/>
      <c r="C59" s="745">
        <v>54</v>
      </c>
    </row>
    <row r="60" spans="1:3" ht="13.5" thickBot="1" x14ac:dyDescent="0.25">
      <c r="A60" s="197" t="s">
        <v>212</v>
      </c>
      <c r="B60" s="198"/>
      <c r="C60" s="74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&amp;R9.3.1.melléklet a ../......(........)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00" workbookViewId="0">
      <selection activeCell="C8" sqref="C8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174"/>
      <c r="B1" s="176"/>
      <c r="C1" s="351" t="e">
        <f>+CONCATENATE("9.3.1. melléklet a ……/",LEFT(#REF!,4),". (….) önkormányzati rendelethez")</f>
        <v>#REF!</v>
      </c>
    </row>
    <row r="2" spans="1:3" ht="33.75" customHeight="1" x14ac:dyDescent="0.2">
      <c r="A2" s="309" t="s">
        <v>210</v>
      </c>
      <c r="B2" s="282" t="s">
        <v>472</v>
      </c>
      <c r="C2" s="296" t="s">
        <v>75</v>
      </c>
    </row>
    <row r="3" spans="1:3" ht="24.75" thickBot="1" x14ac:dyDescent="0.25">
      <c r="A3" s="345" t="s">
        <v>209</v>
      </c>
      <c r="B3" s="283" t="s">
        <v>432</v>
      </c>
      <c r="C3" s="297" t="s">
        <v>74</v>
      </c>
    </row>
    <row r="4" spans="1:3" ht="14.25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ht="13.5" thickBot="1" x14ac:dyDescent="0.25">
      <c r="A6" s="145" t="s">
        <v>546</v>
      </c>
      <c r="B6" s="146" t="s">
        <v>547</v>
      </c>
      <c r="C6" s="147" t="s">
        <v>548</v>
      </c>
    </row>
    <row r="7" spans="1:3" ht="13.5" thickBot="1" x14ac:dyDescent="0.25">
      <c r="A7" s="182"/>
      <c r="B7" s="183" t="s">
        <v>70</v>
      </c>
      <c r="C7" s="184"/>
    </row>
    <row r="8" spans="1:3" ht="13.5" thickBot="1" x14ac:dyDescent="0.25">
      <c r="A8" s="145" t="s">
        <v>31</v>
      </c>
      <c r="B8" s="185" t="s">
        <v>628</v>
      </c>
      <c r="C8" s="247">
        <f>SUM(C9:C19)</f>
        <v>317500</v>
      </c>
    </row>
    <row r="9" spans="1:3" x14ac:dyDescent="0.2">
      <c r="A9" s="346" t="s">
        <v>114</v>
      </c>
      <c r="B9" s="9" t="s">
        <v>289</v>
      </c>
      <c r="C9" s="287"/>
    </row>
    <row r="10" spans="1:3" x14ac:dyDescent="0.2">
      <c r="A10" s="347" t="s">
        <v>115</v>
      </c>
      <c r="B10" s="7" t="s">
        <v>290</v>
      </c>
      <c r="C10" s="245">
        <v>250000</v>
      </c>
    </row>
    <row r="11" spans="1:3" x14ac:dyDescent="0.2">
      <c r="A11" s="347" t="s">
        <v>116</v>
      </c>
      <c r="B11" s="7" t="s">
        <v>291</v>
      </c>
      <c r="C11" s="245"/>
    </row>
    <row r="12" spans="1:3" x14ac:dyDescent="0.2">
      <c r="A12" s="347" t="s">
        <v>117</v>
      </c>
      <c r="B12" s="7" t="s">
        <v>292</v>
      </c>
      <c r="C12" s="245"/>
    </row>
    <row r="13" spans="1:3" x14ac:dyDescent="0.2">
      <c r="A13" s="347" t="s">
        <v>158</v>
      </c>
      <c r="B13" s="7" t="s">
        <v>293</v>
      </c>
      <c r="C13" s="245"/>
    </row>
    <row r="14" spans="1:3" x14ac:dyDescent="0.2">
      <c r="A14" s="347" t="s">
        <v>118</v>
      </c>
      <c r="B14" s="7" t="s">
        <v>414</v>
      </c>
      <c r="C14" s="245">
        <v>67500</v>
      </c>
    </row>
    <row r="15" spans="1:3" x14ac:dyDescent="0.2">
      <c r="A15" s="347" t="s">
        <v>119</v>
      </c>
      <c r="B15" s="6" t="s">
        <v>415</v>
      </c>
      <c r="C15" s="245"/>
    </row>
    <row r="16" spans="1:3" x14ac:dyDescent="0.2">
      <c r="A16" s="347" t="s">
        <v>129</v>
      </c>
      <c r="B16" s="7" t="s">
        <v>296</v>
      </c>
      <c r="C16" s="288"/>
    </row>
    <row r="17" spans="1:3" x14ac:dyDescent="0.2">
      <c r="A17" s="347" t="s">
        <v>130</v>
      </c>
      <c r="B17" s="7" t="s">
        <v>297</v>
      </c>
      <c r="C17" s="245"/>
    </row>
    <row r="18" spans="1:3" x14ac:dyDescent="0.2">
      <c r="A18" s="347" t="s">
        <v>131</v>
      </c>
      <c r="B18" s="7" t="s">
        <v>555</v>
      </c>
      <c r="C18" s="246"/>
    </row>
    <row r="19" spans="1:3" ht="13.5" thickBot="1" x14ac:dyDescent="0.25">
      <c r="A19" s="347" t="s">
        <v>132</v>
      </c>
      <c r="B19" s="6" t="s">
        <v>298</v>
      </c>
      <c r="C19" s="246"/>
    </row>
    <row r="20" spans="1:3" ht="13.5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x14ac:dyDescent="0.2">
      <c r="A21" s="347" t="s">
        <v>120</v>
      </c>
      <c r="B21" s="8" t="s">
        <v>266</v>
      </c>
      <c r="C21" s="245"/>
    </row>
    <row r="22" spans="1:3" x14ac:dyDescent="0.2">
      <c r="A22" s="347" t="s">
        <v>121</v>
      </c>
      <c r="B22" s="7" t="s">
        <v>417</v>
      </c>
      <c r="C22" s="245"/>
    </row>
    <row r="23" spans="1:3" x14ac:dyDescent="0.2">
      <c r="A23" s="347" t="s">
        <v>122</v>
      </c>
      <c r="B23" s="7" t="s">
        <v>418</v>
      </c>
      <c r="C23" s="245"/>
    </row>
    <row r="24" spans="1:3" ht="13.5" thickBot="1" x14ac:dyDescent="0.25">
      <c r="A24" s="347" t="s">
        <v>123</v>
      </c>
      <c r="B24" s="7" t="s">
        <v>641</v>
      </c>
      <c r="C24" s="245"/>
    </row>
    <row r="25" spans="1:3" ht="13.5" thickBot="1" x14ac:dyDescent="0.25">
      <c r="A25" s="152" t="s">
        <v>33</v>
      </c>
      <c r="B25" s="98" t="s">
        <v>181</v>
      </c>
      <c r="C25" s="272"/>
    </row>
    <row r="26" spans="1:3" ht="13.5" thickBot="1" x14ac:dyDescent="0.25">
      <c r="A26" s="152" t="s">
        <v>34</v>
      </c>
      <c r="B26" s="98" t="s">
        <v>642</v>
      </c>
      <c r="C26" s="247">
        <f>+C27+C28</f>
        <v>0</v>
      </c>
    </row>
    <row r="27" spans="1:3" x14ac:dyDescent="0.2">
      <c r="A27" s="348" t="s">
        <v>276</v>
      </c>
      <c r="B27" s="349" t="s">
        <v>417</v>
      </c>
      <c r="C27" s="57"/>
    </row>
    <row r="28" spans="1:3" x14ac:dyDescent="0.2">
      <c r="A28" s="348" t="s">
        <v>279</v>
      </c>
      <c r="B28" s="350" t="s">
        <v>419</v>
      </c>
      <c r="C28" s="248"/>
    </row>
    <row r="29" spans="1:3" ht="13.5" thickBot="1" x14ac:dyDescent="0.25">
      <c r="A29" s="347" t="s">
        <v>280</v>
      </c>
      <c r="B29" s="105" t="s">
        <v>643</v>
      </c>
      <c r="C29" s="64"/>
    </row>
    <row r="30" spans="1:3" ht="13.5" thickBot="1" x14ac:dyDescent="0.25">
      <c r="A30" s="152" t="s">
        <v>35</v>
      </c>
      <c r="B30" s="98" t="s">
        <v>420</v>
      </c>
      <c r="C30" s="247">
        <f>+C31+C32+C33</f>
        <v>0</v>
      </c>
    </row>
    <row r="31" spans="1:3" x14ac:dyDescent="0.2">
      <c r="A31" s="348" t="s">
        <v>107</v>
      </c>
      <c r="B31" s="349" t="s">
        <v>303</v>
      </c>
      <c r="C31" s="57"/>
    </row>
    <row r="32" spans="1:3" x14ac:dyDescent="0.2">
      <c r="A32" s="348" t="s">
        <v>108</v>
      </c>
      <c r="B32" s="350" t="s">
        <v>304</v>
      </c>
      <c r="C32" s="248"/>
    </row>
    <row r="33" spans="1:3" ht="13.5" thickBot="1" x14ac:dyDescent="0.25">
      <c r="A33" s="347" t="s">
        <v>109</v>
      </c>
      <c r="B33" s="105" t="s">
        <v>305</v>
      </c>
      <c r="C33" s="64"/>
    </row>
    <row r="34" spans="1:3" ht="13.5" thickBot="1" x14ac:dyDescent="0.25">
      <c r="A34" s="152" t="s">
        <v>36</v>
      </c>
      <c r="B34" s="98" t="s">
        <v>391</v>
      </c>
      <c r="C34" s="272"/>
    </row>
    <row r="35" spans="1:3" ht="13.5" thickBot="1" x14ac:dyDescent="0.25">
      <c r="A35" s="152" t="s">
        <v>37</v>
      </c>
      <c r="B35" s="98" t="s">
        <v>421</v>
      </c>
      <c r="C35" s="289"/>
    </row>
    <row r="36" spans="1:3" ht="13.5" thickBot="1" x14ac:dyDescent="0.25">
      <c r="A36" s="145" t="s">
        <v>38</v>
      </c>
      <c r="B36" s="98" t="s">
        <v>644</v>
      </c>
      <c r="C36" s="290">
        <f>+C8+C20+C25+C26+C30+C34+C35</f>
        <v>317500</v>
      </c>
    </row>
    <row r="37" spans="1:3" ht="13.5" thickBot="1" x14ac:dyDescent="0.25">
      <c r="A37" s="186" t="s">
        <v>39</v>
      </c>
      <c r="B37" s="98" t="s">
        <v>423</v>
      </c>
      <c r="C37" s="290">
        <f>+C38+C39+C40</f>
        <v>0</v>
      </c>
    </row>
    <row r="38" spans="1:3" x14ac:dyDescent="0.2">
      <c r="A38" s="348" t="s">
        <v>424</v>
      </c>
      <c r="B38" s="349" t="s">
        <v>245</v>
      </c>
      <c r="C38" s="57"/>
    </row>
    <row r="39" spans="1:3" x14ac:dyDescent="0.2">
      <c r="A39" s="348" t="s">
        <v>425</v>
      </c>
      <c r="B39" s="350" t="s">
        <v>15</v>
      </c>
      <c r="C39" s="248"/>
    </row>
    <row r="40" spans="1:3" ht="13.5" thickBot="1" x14ac:dyDescent="0.25">
      <c r="A40" s="347" t="s">
        <v>426</v>
      </c>
      <c r="B40" s="105" t="s">
        <v>427</v>
      </c>
      <c r="C40" s="64"/>
    </row>
    <row r="41" spans="1:3" ht="13.5" thickBot="1" x14ac:dyDescent="0.25">
      <c r="A41" s="186" t="s">
        <v>40</v>
      </c>
      <c r="B41" s="187" t="s">
        <v>428</v>
      </c>
      <c r="C41" s="293">
        <f>+C36+C37</f>
        <v>317500</v>
      </c>
    </row>
    <row r="42" spans="1:3" x14ac:dyDescent="0.2">
      <c r="A42" s="188"/>
      <c r="B42" s="189"/>
      <c r="C42" s="291"/>
    </row>
    <row r="43" spans="1:3" ht="13.5" thickBot="1" x14ac:dyDescent="0.25">
      <c r="A43" s="190"/>
      <c r="B43" s="191"/>
      <c r="C43" s="292"/>
    </row>
    <row r="44" spans="1:3" ht="13.5" thickBot="1" x14ac:dyDescent="0.25">
      <c r="A44" s="192"/>
      <c r="B44" s="193" t="s">
        <v>71</v>
      </c>
      <c r="C44" s="293"/>
    </row>
    <row r="45" spans="1:3" ht="13.5" thickBot="1" x14ac:dyDescent="0.25">
      <c r="A45" s="152" t="s">
        <v>31</v>
      </c>
      <c r="B45" s="98" t="s">
        <v>429</v>
      </c>
      <c r="C45" s="247">
        <f>SUM(C46:C50)</f>
        <v>317500</v>
      </c>
    </row>
    <row r="46" spans="1:3" x14ac:dyDescent="0.2">
      <c r="A46" s="347" t="s">
        <v>114</v>
      </c>
      <c r="B46" s="8" t="s">
        <v>62</v>
      </c>
      <c r="C46" s="57"/>
    </row>
    <row r="47" spans="1:3" x14ac:dyDescent="0.2">
      <c r="A47" s="347" t="s">
        <v>115</v>
      </c>
      <c r="B47" s="7" t="s">
        <v>190</v>
      </c>
      <c r="C47" s="60"/>
    </row>
    <row r="48" spans="1:3" x14ac:dyDescent="0.2">
      <c r="A48" s="347" t="s">
        <v>116</v>
      </c>
      <c r="B48" s="7" t="s">
        <v>151</v>
      </c>
      <c r="C48" s="60">
        <v>317500</v>
      </c>
    </row>
    <row r="49" spans="1:3" x14ac:dyDescent="0.2">
      <c r="A49" s="347" t="s">
        <v>117</v>
      </c>
      <c r="B49" s="7" t="s">
        <v>191</v>
      </c>
      <c r="C49" s="60"/>
    </row>
    <row r="50" spans="1:3" ht="13.5" thickBot="1" x14ac:dyDescent="0.25">
      <c r="A50" s="347" t="s">
        <v>158</v>
      </c>
      <c r="B50" s="7" t="s">
        <v>192</v>
      </c>
      <c r="C50" s="60"/>
    </row>
    <row r="51" spans="1:3" ht="13.5" thickBot="1" x14ac:dyDescent="0.25">
      <c r="A51" s="152" t="s">
        <v>32</v>
      </c>
      <c r="B51" s="98" t="s">
        <v>430</v>
      </c>
      <c r="C51" s="247">
        <f>SUM(C52:C54)</f>
        <v>0</v>
      </c>
    </row>
    <row r="52" spans="1:3" x14ac:dyDescent="0.2">
      <c r="A52" s="347" t="s">
        <v>120</v>
      </c>
      <c r="B52" s="8" t="s">
        <v>236</v>
      </c>
      <c r="C52" s="57"/>
    </row>
    <row r="53" spans="1:3" x14ac:dyDescent="0.2">
      <c r="A53" s="347" t="s">
        <v>121</v>
      </c>
      <c r="B53" s="7" t="s">
        <v>194</v>
      </c>
      <c r="C53" s="60"/>
    </row>
    <row r="54" spans="1:3" x14ac:dyDescent="0.2">
      <c r="A54" s="347" t="s">
        <v>122</v>
      </c>
      <c r="B54" s="7" t="s">
        <v>72</v>
      </c>
      <c r="C54" s="60"/>
    </row>
    <row r="55" spans="1:3" ht="13.5" thickBot="1" x14ac:dyDescent="0.25">
      <c r="A55" s="347" t="s">
        <v>123</v>
      </c>
      <c r="B55" s="7" t="s">
        <v>632</v>
      </c>
      <c r="C55" s="60"/>
    </row>
    <row r="56" spans="1:3" ht="13.5" thickBot="1" x14ac:dyDescent="0.25">
      <c r="A56" s="152" t="s">
        <v>33</v>
      </c>
      <c r="B56" s="98" t="s">
        <v>25</v>
      </c>
      <c r="C56" s="272"/>
    </row>
    <row r="57" spans="1:3" ht="13.5" thickBot="1" x14ac:dyDescent="0.25">
      <c r="A57" s="152" t="s">
        <v>34</v>
      </c>
      <c r="B57" s="194" t="s">
        <v>633</v>
      </c>
      <c r="C57" s="294">
        <f>+C45+C51+C56</f>
        <v>317500</v>
      </c>
    </row>
    <row r="58" spans="1:3" ht="13.5" thickBot="1" x14ac:dyDescent="0.25">
      <c r="A58" s="195"/>
      <c r="B58" s="196"/>
      <c r="C58" s="295"/>
    </row>
    <row r="59" spans="1:3" ht="13.5" thickBot="1" x14ac:dyDescent="0.25">
      <c r="A59" s="197" t="s">
        <v>625</v>
      </c>
      <c r="B59" s="198"/>
      <c r="C59" s="96"/>
    </row>
    <row r="60" spans="1:3" ht="13.5" thickBot="1" x14ac:dyDescent="0.25">
      <c r="A60" s="197" t="s">
        <v>212</v>
      </c>
      <c r="B60" s="198"/>
      <c r="C60" s="96"/>
    </row>
  </sheetData>
  <pageMargins left="0.78740157480314965" right="0.78740157480314965" top="0.74803149606299213" bottom="0.98425196850393704" header="0.31496062992125984" footer="0.31496062992125984"/>
  <pageSetup paperSize="9" scale="75" orientation="portrait" r:id="rId1"/>
  <headerFooter alignWithMargins="0">
    <oddHeader>&amp;R9.3.2. melléklet a ../......(.......)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6" customHeight="1" x14ac:dyDescent="0.2">
      <c r="A2" s="309" t="s">
        <v>210</v>
      </c>
      <c r="B2" s="282" t="s">
        <v>687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12914000</v>
      </c>
    </row>
    <row r="9" spans="1:3" s="298" customFormat="1" ht="12" customHeight="1" x14ac:dyDescent="0.2">
      <c r="A9" s="346" t="s">
        <v>114</v>
      </c>
      <c r="B9" s="9" t="s">
        <v>289</v>
      </c>
      <c r="C9" s="731">
        <f>150000-130000</f>
        <v>20000</v>
      </c>
    </row>
    <row r="10" spans="1:3" s="298" customFormat="1" ht="12" customHeight="1" x14ac:dyDescent="0.2">
      <c r="A10" s="347" t="s">
        <v>115</v>
      </c>
      <c r="B10" s="7" t="s">
        <v>290</v>
      </c>
      <c r="C10" s="732">
        <v>10382678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50000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/>
    </row>
    <row r="14" spans="1:3" s="298" customFormat="1" ht="12" customHeight="1" x14ac:dyDescent="0.2">
      <c r="A14" s="347" t="s">
        <v>118</v>
      </c>
      <c r="B14" s="7" t="s">
        <v>414</v>
      </c>
      <c r="C14" s="732">
        <v>1291322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1170000</v>
      </c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12914000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84938893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361287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84577606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97852893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95174189</v>
      </c>
    </row>
    <row r="46" spans="1:3" ht="12" customHeight="1" x14ac:dyDescent="0.2">
      <c r="A46" s="347" t="s">
        <v>114</v>
      </c>
      <c r="B46" s="8" t="s">
        <v>62</v>
      </c>
      <c r="C46" s="736">
        <v>44090923</v>
      </c>
    </row>
    <row r="47" spans="1:3" ht="12" customHeight="1" x14ac:dyDescent="0.2">
      <c r="A47" s="347" t="s">
        <v>115</v>
      </c>
      <c r="B47" s="7" t="s">
        <v>190</v>
      </c>
      <c r="C47" s="865">
        <v>8671204</v>
      </c>
    </row>
    <row r="48" spans="1:3" ht="12" customHeight="1" x14ac:dyDescent="0.2">
      <c r="A48" s="347" t="s">
        <v>116</v>
      </c>
      <c r="B48" s="7" t="s">
        <v>151</v>
      </c>
      <c r="C48" s="865">
        <v>42412062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2678704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2678704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97852893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747">
        <v>16.75</v>
      </c>
    </row>
    <row r="60" spans="1:3" ht="13.5" thickBot="1" x14ac:dyDescent="0.25">
      <c r="A60" s="197" t="s">
        <v>212</v>
      </c>
      <c r="B60" s="198"/>
      <c r="C60" s="74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&amp;R9.4. melléklet a ../.......(.......)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3" customHeight="1" x14ac:dyDescent="0.2">
      <c r="A2" s="309" t="s">
        <v>210</v>
      </c>
      <c r="B2" s="282" t="s">
        <v>687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12174000</v>
      </c>
    </row>
    <row r="9" spans="1:3" s="298" customFormat="1" ht="12" customHeight="1" x14ac:dyDescent="0.2">
      <c r="A9" s="346" t="s">
        <v>114</v>
      </c>
      <c r="B9" s="9" t="s">
        <v>289</v>
      </c>
      <c r="C9" s="731">
        <f>150000-130000</f>
        <v>20000</v>
      </c>
    </row>
    <row r="10" spans="1:3" s="298" customFormat="1" ht="12" customHeight="1" x14ac:dyDescent="0.2">
      <c r="A10" s="347" t="s">
        <v>115</v>
      </c>
      <c r="B10" s="7" t="s">
        <v>290</v>
      </c>
      <c r="C10" s="732">
        <v>9800000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50000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/>
    </row>
    <row r="14" spans="1:3" s="298" customFormat="1" ht="12" customHeight="1" x14ac:dyDescent="0.2">
      <c r="A14" s="347" t="s">
        <v>118</v>
      </c>
      <c r="B14" s="7" t="s">
        <v>414</v>
      </c>
      <c r="C14" s="732">
        <v>1134000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1170000</v>
      </c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12174000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84938893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361287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84577606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97112893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94434189</v>
      </c>
    </row>
    <row r="46" spans="1:3" ht="12" customHeight="1" x14ac:dyDescent="0.2">
      <c r="A46" s="347" t="s">
        <v>114</v>
      </c>
      <c r="B46" s="8" t="s">
        <v>62</v>
      </c>
      <c r="C46" s="736">
        <v>44090923</v>
      </c>
    </row>
    <row r="47" spans="1:3" ht="12" customHeight="1" x14ac:dyDescent="0.2">
      <c r="A47" s="347" t="s">
        <v>115</v>
      </c>
      <c r="B47" s="7" t="s">
        <v>190</v>
      </c>
      <c r="C47" s="865">
        <v>8671204</v>
      </c>
    </row>
    <row r="48" spans="1:3" ht="12" customHeight="1" x14ac:dyDescent="0.2">
      <c r="A48" s="347" t="s">
        <v>116</v>
      </c>
      <c r="B48" s="7" t="s">
        <v>151</v>
      </c>
      <c r="C48" s="865">
        <v>41672062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2678704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2678704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97112893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747">
        <v>16.75</v>
      </c>
    </row>
    <row r="60" spans="1:3" ht="13.5" thickBot="1" x14ac:dyDescent="0.25">
      <c r="A60" s="197" t="s">
        <v>212</v>
      </c>
      <c r="B60" s="198"/>
      <c r="C60" s="74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&amp;R9.4.1. melléklet a ../......(........)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ColWidth="9.33203125" defaultRowHeight="12.75" x14ac:dyDescent="0.2"/>
  <cols>
    <col min="1" max="1" width="13.83203125" style="195" customWidth="1"/>
    <col min="2" max="2" width="79.1640625" style="196" customWidth="1"/>
    <col min="3" max="3" width="25" style="196" customWidth="1"/>
    <col min="4" max="16384" width="9.33203125" style="196"/>
  </cols>
  <sheetData>
    <row r="1" spans="1:3" s="175" customFormat="1" ht="21" customHeight="1" thickBot="1" x14ac:dyDescent="0.25">
      <c r="A1" s="174"/>
      <c r="B1" s="176"/>
      <c r="C1" s="351" t="e">
        <f>+CONCATENATE("9.3.2. melléklet a ……/",LEFT(#REF!,4),". (….) önkormányzati rendelethez")</f>
        <v>#REF!</v>
      </c>
    </row>
    <row r="2" spans="1:3" s="352" customFormat="1" ht="36.75" customHeight="1" x14ac:dyDescent="0.2">
      <c r="A2" s="309" t="s">
        <v>210</v>
      </c>
      <c r="B2" s="282" t="s">
        <v>687</v>
      </c>
      <c r="C2" s="296" t="s">
        <v>75</v>
      </c>
    </row>
    <row r="3" spans="1:3" s="352" customFormat="1" ht="24.75" thickBot="1" x14ac:dyDescent="0.25">
      <c r="A3" s="345" t="s">
        <v>209</v>
      </c>
      <c r="B3" s="283" t="s">
        <v>432</v>
      </c>
      <c r="C3" s="297" t="s">
        <v>75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740000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245">
        <v>582678</v>
      </c>
    </row>
    <row r="11" spans="1:3" s="298" customFormat="1" ht="12" customHeight="1" x14ac:dyDescent="0.2">
      <c r="A11" s="347" t="s">
        <v>116</v>
      </c>
      <c r="B11" s="7" t="s">
        <v>291</v>
      </c>
      <c r="C11" s="245"/>
    </row>
    <row r="12" spans="1:3" s="298" customFormat="1" ht="12" customHeight="1" x14ac:dyDescent="0.2">
      <c r="A12" s="347" t="s">
        <v>117</v>
      </c>
      <c r="B12" s="7" t="s">
        <v>292</v>
      </c>
      <c r="C12" s="245"/>
    </row>
    <row r="13" spans="1:3" s="298" customFormat="1" ht="12" customHeight="1" x14ac:dyDescent="0.2">
      <c r="A13" s="347" t="s">
        <v>158</v>
      </c>
      <c r="B13" s="7" t="s">
        <v>293</v>
      </c>
      <c r="C13" s="245"/>
    </row>
    <row r="14" spans="1:3" s="298" customFormat="1" ht="12" customHeight="1" x14ac:dyDescent="0.2">
      <c r="A14" s="347" t="s">
        <v>118</v>
      </c>
      <c r="B14" s="7" t="s">
        <v>414</v>
      </c>
      <c r="C14" s="245">
        <v>157322</v>
      </c>
    </row>
    <row r="15" spans="1:3" s="298" customFormat="1" ht="12" customHeight="1" x14ac:dyDescent="0.2">
      <c r="A15" s="347" t="s">
        <v>119</v>
      </c>
      <c r="B15" s="6" t="s">
        <v>415</v>
      </c>
      <c r="C15" s="245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/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245"/>
    </row>
    <row r="24" spans="1:3" s="355" customFormat="1" ht="12" customHeight="1" thickBot="1" x14ac:dyDescent="0.25">
      <c r="A24" s="347" t="s">
        <v>123</v>
      </c>
      <c r="B24" s="7" t="s">
        <v>641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642</v>
      </c>
      <c r="C26" s="247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57"/>
    </row>
    <row r="28" spans="1:3" s="355" customFormat="1" ht="12" customHeight="1" x14ac:dyDescent="0.2">
      <c r="A28" s="348" t="s">
        <v>279</v>
      </c>
      <c r="B28" s="350" t="s">
        <v>419</v>
      </c>
      <c r="C28" s="248"/>
    </row>
    <row r="29" spans="1:3" s="355" customFormat="1" ht="12" customHeight="1" thickBot="1" x14ac:dyDescent="0.25">
      <c r="A29" s="347" t="s">
        <v>280</v>
      </c>
      <c r="B29" s="105" t="s">
        <v>643</v>
      </c>
      <c r="C29" s="64"/>
    </row>
    <row r="30" spans="1:3" s="355" customFormat="1" ht="12" customHeight="1" thickBot="1" x14ac:dyDescent="0.25">
      <c r="A30" s="152" t="s">
        <v>35</v>
      </c>
      <c r="B30" s="98" t="s">
        <v>420</v>
      </c>
      <c r="C30" s="247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57"/>
    </row>
    <row r="32" spans="1:3" s="355" customFormat="1" ht="12" customHeight="1" x14ac:dyDescent="0.2">
      <c r="A32" s="348" t="s">
        <v>108</v>
      </c>
      <c r="B32" s="350" t="s">
        <v>304</v>
      </c>
      <c r="C32" s="248"/>
    </row>
    <row r="33" spans="1:3" s="355" customFormat="1" ht="12" customHeight="1" thickBot="1" x14ac:dyDescent="0.25">
      <c r="A33" s="347" t="s">
        <v>109</v>
      </c>
      <c r="B33" s="105" t="s">
        <v>305</v>
      </c>
      <c r="C33" s="64"/>
    </row>
    <row r="34" spans="1:3" s="298" customFormat="1" ht="12" customHeight="1" thickBot="1" x14ac:dyDescent="0.25">
      <c r="A34" s="152" t="s">
        <v>36</v>
      </c>
      <c r="B34" s="98" t="s">
        <v>391</v>
      </c>
      <c r="C34" s="272"/>
    </row>
    <row r="35" spans="1:3" s="298" customFormat="1" ht="12" customHeight="1" thickBot="1" x14ac:dyDescent="0.25">
      <c r="A35" s="152" t="s">
        <v>37</v>
      </c>
      <c r="B35" s="98" t="s">
        <v>421</v>
      </c>
      <c r="C35" s="289"/>
    </row>
    <row r="36" spans="1:3" s="298" customFormat="1" ht="12" customHeight="1" thickBot="1" x14ac:dyDescent="0.25">
      <c r="A36" s="145" t="s">
        <v>38</v>
      </c>
      <c r="B36" s="98" t="s">
        <v>644</v>
      </c>
      <c r="C36" s="290">
        <f>+C8+C20+C25+C26+C30+C34+C35</f>
        <v>740000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290">
        <f>+C38+C39+C40</f>
        <v>0</v>
      </c>
    </row>
    <row r="38" spans="1:3" s="298" customFormat="1" ht="12" customHeight="1" x14ac:dyDescent="0.2">
      <c r="A38" s="348" t="s">
        <v>424</v>
      </c>
      <c r="B38" s="349" t="s">
        <v>245</v>
      </c>
      <c r="C38" s="57"/>
    </row>
    <row r="39" spans="1:3" s="298" customFormat="1" ht="12" customHeight="1" x14ac:dyDescent="0.2">
      <c r="A39" s="348" t="s">
        <v>425</v>
      </c>
      <c r="B39" s="350" t="s">
        <v>15</v>
      </c>
      <c r="C39" s="248"/>
    </row>
    <row r="40" spans="1:3" s="355" customFormat="1" ht="12" customHeight="1" thickBot="1" x14ac:dyDescent="0.25">
      <c r="A40" s="347" t="s">
        <v>426</v>
      </c>
      <c r="B40" s="105" t="s">
        <v>427</v>
      </c>
      <c r="C40" s="64"/>
    </row>
    <row r="41" spans="1:3" s="355" customFormat="1" ht="15" customHeight="1" thickBot="1" x14ac:dyDescent="0.25">
      <c r="A41" s="186" t="s">
        <v>40</v>
      </c>
      <c r="B41" s="187" t="s">
        <v>428</v>
      </c>
      <c r="C41" s="293">
        <f>+C36+C37</f>
        <v>740000</v>
      </c>
    </row>
    <row r="42" spans="1:3" s="355" customFormat="1" ht="15" customHeight="1" x14ac:dyDescent="0.2">
      <c r="A42" s="188"/>
      <c r="B42" s="189"/>
      <c r="C42" s="291"/>
    </row>
    <row r="43" spans="1:3" ht="13.5" thickBot="1" x14ac:dyDescent="0.25">
      <c r="A43" s="190"/>
      <c r="B43" s="191"/>
      <c r="C43" s="292"/>
    </row>
    <row r="44" spans="1:3" s="354" customFormat="1" ht="16.5" customHeight="1" thickBot="1" x14ac:dyDescent="0.25">
      <c r="A44" s="192"/>
      <c r="B44" s="193" t="s">
        <v>71</v>
      </c>
      <c r="C44" s="293"/>
    </row>
    <row r="45" spans="1:3" s="356" customFormat="1" ht="12" customHeight="1" thickBot="1" x14ac:dyDescent="0.25">
      <c r="A45" s="152" t="s">
        <v>31</v>
      </c>
      <c r="B45" s="98" t="s">
        <v>429</v>
      </c>
      <c r="C45" s="247">
        <f>SUM(C46:C50)</f>
        <v>740000</v>
      </c>
    </row>
    <row r="46" spans="1:3" ht="12" customHeight="1" x14ac:dyDescent="0.2">
      <c r="A46" s="347" t="s">
        <v>114</v>
      </c>
      <c r="B46" s="8" t="s">
        <v>62</v>
      </c>
      <c r="C46" s="57"/>
    </row>
    <row r="47" spans="1:3" ht="12" customHeight="1" x14ac:dyDescent="0.2">
      <c r="A47" s="347" t="s">
        <v>115</v>
      </c>
      <c r="B47" s="7" t="s">
        <v>190</v>
      </c>
      <c r="C47" s="60"/>
    </row>
    <row r="48" spans="1:3" ht="12" customHeight="1" x14ac:dyDescent="0.2">
      <c r="A48" s="347" t="s">
        <v>116</v>
      </c>
      <c r="B48" s="7" t="s">
        <v>151</v>
      </c>
      <c r="C48" s="60">
        <v>740000</v>
      </c>
    </row>
    <row r="49" spans="1:3" ht="12" customHeight="1" x14ac:dyDescent="0.2">
      <c r="A49" s="347" t="s">
        <v>117</v>
      </c>
      <c r="B49" s="7" t="s">
        <v>191</v>
      </c>
      <c r="C49" s="60"/>
    </row>
    <row r="50" spans="1:3" ht="12" customHeight="1" thickBot="1" x14ac:dyDescent="0.25">
      <c r="A50" s="347" t="s">
        <v>158</v>
      </c>
      <c r="B50" s="7" t="s">
        <v>192</v>
      </c>
      <c r="C50" s="60"/>
    </row>
    <row r="51" spans="1:3" ht="12" customHeight="1" thickBot="1" x14ac:dyDescent="0.25">
      <c r="A51" s="152" t="s">
        <v>32</v>
      </c>
      <c r="B51" s="98" t="s">
        <v>430</v>
      </c>
      <c r="C51" s="247">
        <f>SUM(C52:C54)</f>
        <v>0</v>
      </c>
    </row>
    <row r="52" spans="1:3" s="356" customFormat="1" ht="12" customHeight="1" x14ac:dyDescent="0.2">
      <c r="A52" s="347" t="s">
        <v>120</v>
      </c>
      <c r="B52" s="8" t="s">
        <v>236</v>
      </c>
      <c r="C52" s="57"/>
    </row>
    <row r="53" spans="1:3" ht="12" customHeight="1" x14ac:dyDescent="0.2">
      <c r="A53" s="347" t="s">
        <v>121</v>
      </c>
      <c r="B53" s="7" t="s">
        <v>194</v>
      </c>
      <c r="C53" s="60"/>
    </row>
    <row r="54" spans="1:3" ht="12" customHeight="1" x14ac:dyDescent="0.2">
      <c r="A54" s="347" t="s">
        <v>122</v>
      </c>
      <c r="B54" s="7" t="s">
        <v>72</v>
      </c>
      <c r="C54" s="60"/>
    </row>
    <row r="55" spans="1:3" ht="12" customHeight="1" thickBot="1" x14ac:dyDescent="0.25">
      <c r="A55" s="347" t="s">
        <v>123</v>
      </c>
      <c r="B55" s="7" t="s">
        <v>632</v>
      </c>
      <c r="C55" s="60"/>
    </row>
    <row r="56" spans="1:3" ht="15" customHeight="1" thickBot="1" x14ac:dyDescent="0.25">
      <c r="A56" s="152" t="s">
        <v>33</v>
      </c>
      <c r="B56" s="98" t="s">
        <v>25</v>
      </c>
      <c r="C56" s="272"/>
    </row>
    <row r="57" spans="1:3" ht="13.5" thickBot="1" x14ac:dyDescent="0.25">
      <c r="A57" s="152" t="s">
        <v>34</v>
      </c>
      <c r="B57" s="194" t="s">
        <v>633</v>
      </c>
      <c r="C57" s="294">
        <f>+C45+C51+C56</f>
        <v>740000</v>
      </c>
    </row>
    <row r="58" spans="1:3" ht="15" customHeight="1" thickBot="1" x14ac:dyDescent="0.25">
      <c r="C58" s="295"/>
    </row>
    <row r="59" spans="1:3" ht="14.25" customHeight="1" thickBot="1" x14ac:dyDescent="0.25">
      <c r="A59" s="197" t="s">
        <v>625</v>
      </c>
      <c r="B59" s="198"/>
      <c r="C59" s="96"/>
    </row>
    <row r="60" spans="1:3" ht="13.5" thickBot="1" x14ac:dyDescent="0.25">
      <c r="A60" s="197" t="s">
        <v>212</v>
      </c>
      <c r="B60" s="198"/>
      <c r="C60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&amp;R9.4.2. melléklet a ../......(......)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6" customHeight="1" x14ac:dyDescent="0.2">
      <c r="A2" s="309" t="s">
        <v>210</v>
      </c>
      <c r="B2" s="282" t="s">
        <v>645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172674012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30591480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82270000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865">
        <v>19857978</v>
      </c>
    </row>
    <row r="14" spans="1:3" s="298" customFormat="1" ht="12" customHeight="1" x14ac:dyDescent="0.2">
      <c r="A14" s="347" t="s">
        <v>118</v>
      </c>
      <c r="B14" s="7" t="s">
        <v>414</v>
      </c>
      <c r="C14" s="865">
        <v>27304554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12650000</v>
      </c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172674012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135013230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1426020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133587210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307687242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306458242</v>
      </c>
    </row>
    <row r="46" spans="1:3" ht="12" customHeight="1" x14ac:dyDescent="0.2">
      <c r="A46" s="347" t="s">
        <v>114</v>
      </c>
      <c r="B46" s="8" t="s">
        <v>62</v>
      </c>
      <c r="C46" s="869">
        <v>61703726</v>
      </c>
    </row>
    <row r="47" spans="1:3" ht="12" customHeight="1" x14ac:dyDescent="0.2">
      <c r="A47" s="347" t="s">
        <v>115</v>
      </c>
      <c r="B47" s="7" t="s">
        <v>190</v>
      </c>
      <c r="C47" s="1013">
        <v>14089304</v>
      </c>
    </row>
    <row r="48" spans="1:3" ht="12" customHeight="1" x14ac:dyDescent="0.2">
      <c r="A48" s="347" t="s">
        <v>116</v>
      </c>
      <c r="B48" s="7" t="s">
        <v>151</v>
      </c>
      <c r="C48" s="1013">
        <v>230665212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1229000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1229000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307687242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1">
        <v>25.5</v>
      </c>
    </row>
    <row r="60" spans="1:3" ht="13.5" thickBot="1" x14ac:dyDescent="0.25">
      <c r="A60" s="197" t="s">
        <v>212</v>
      </c>
      <c r="B60" s="198"/>
      <c r="C60" s="8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&amp;R9.5. melléklet a ../......(.......)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H3" sqref="H3"/>
    </sheetView>
  </sheetViews>
  <sheetFormatPr defaultRowHeight="15.75" x14ac:dyDescent="0.25"/>
  <cols>
    <col min="1" max="1" width="9.5" style="305" customWidth="1"/>
    <col min="2" max="2" width="83.83203125" style="305" customWidth="1"/>
    <col min="3" max="3" width="21.6640625" style="306" customWidth="1"/>
    <col min="4" max="4" width="19.33203125" style="316" hidden="1" customWidth="1"/>
    <col min="5" max="5" width="15.83203125" style="316" hidden="1" customWidth="1"/>
    <col min="6" max="6" width="15.33203125" style="316" hidden="1" customWidth="1"/>
    <col min="7" max="16384" width="9.33203125" style="316"/>
  </cols>
  <sheetData>
    <row r="1" spans="1:6" ht="15.95" customHeight="1" x14ac:dyDescent="0.25">
      <c r="A1" s="1171" t="s">
        <v>28</v>
      </c>
      <c r="B1" s="1171"/>
      <c r="C1" s="1171"/>
    </row>
    <row r="2" spans="1:6" ht="15.95" customHeight="1" thickBot="1" x14ac:dyDescent="0.3">
      <c r="A2" s="1174"/>
      <c r="B2" s="1174"/>
      <c r="C2" s="242" t="s">
        <v>688</v>
      </c>
    </row>
    <row r="3" spans="1:6" ht="38.1" customHeight="1" thickBot="1" x14ac:dyDescent="0.3">
      <c r="A3" s="22" t="s">
        <v>84</v>
      </c>
      <c r="B3" s="23" t="s">
        <v>30</v>
      </c>
      <c r="C3" s="37" t="s">
        <v>729</v>
      </c>
      <c r="D3" s="305" t="s">
        <v>699</v>
      </c>
      <c r="E3" s="305" t="s">
        <v>700</v>
      </c>
      <c r="F3" s="305" t="s">
        <v>701</v>
      </c>
    </row>
    <row r="4" spans="1:6" s="317" customFormat="1" ht="12" customHeight="1" thickBot="1" x14ac:dyDescent="0.25">
      <c r="A4" s="311" t="s">
        <v>546</v>
      </c>
      <c r="B4" s="312" t="s">
        <v>547</v>
      </c>
      <c r="C4" s="313" t="s">
        <v>548</v>
      </c>
    </row>
    <row r="5" spans="1:6" s="318" customFormat="1" ht="12" customHeight="1" thickBot="1" x14ac:dyDescent="0.25">
      <c r="A5" s="19" t="s">
        <v>31</v>
      </c>
      <c r="B5" s="20" t="s">
        <v>260</v>
      </c>
      <c r="C5" s="238">
        <f t="shared" ref="C5:C68" si="0">SUM(D5:F5)</f>
        <v>195828813</v>
      </c>
      <c r="D5" s="443">
        <f>+D6+D7+D8+D9+D10+D11</f>
        <v>195828813</v>
      </c>
      <c r="E5" s="233">
        <f>+E6+E7+E8+E9+E10+E11</f>
        <v>0</v>
      </c>
      <c r="F5" s="233">
        <f>+F6+F7+F8+F9+F10+F11</f>
        <v>0</v>
      </c>
    </row>
    <row r="6" spans="1:6" s="318" customFormat="1" ht="12" customHeight="1" x14ac:dyDescent="0.2">
      <c r="A6" s="14" t="s">
        <v>114</v>
      </c>
      <c r="B6" s="319" t="s">
        <v>261</v>
      </c>
      <c r="C6" s="545">
        <f t="shared" si="0"/>
        <v>0</v>
      </c>
      <c r="D6" s="446"/>
      <c r="E6" s="357"/>
      <c r="F6" s="235"/>
    </row>
    <row r="7" spans="1:6" s="318" customFormat="1" ht="12" customHeight="1" x14ac:dyDescent="0.2">
      <c r="A7" s="13" t="s">
        <v>115</v>
      </c>
      <c r="B7" s="320" t="s">
        <v>262</v>
      </c>
      <c r="C7" s="546">
        <f t="shared" si="0"/>
        <v>0</v>
      </c>
      <c r="D7" s="217"/>
      <c r="E7" s="237"/>
      <c r="F7" s="234"/>
    </row>
    <row r="8" spans="1:6" s="318" customFormat="1" ht="12" customHeight="1" x14ac:dyDescent="0.2">
      <c r="A8" s="13" t="s">
        <v>116</v>
      </c>
      <c r="B8" s="320" t="s">
        <v>668</v>
      </c>
      <c r="C8" s="546">
        <f t="shared" si="0"/>
        <v>119410000</v>
      </c>
      <c r="D8" s="217">
        <v>119410000</v>
      </c>
      <c r="E8" s="237"/>
      <c r="F8" s="234"/>
    </row>
    <row r="9" spans="1:6" s="318" customFormat="1" ht="12" customHeight="1" x14ac:dyDescent="0.2">
      <c r="A9" s="13" t="s">
        <v>117</v>
      </c>
      <c r="B9" s="320" t="s">
        <v>264</v>
      </c>
      <c r="C9" s="546">
        <f t="shared" si="0"/>
        <v>12622000</v>
      </c>
      <c r="D9" s="217">
        <v>12622000</v>
      </c>
      <c r="E9" s="237"/>
      <c r="F9" s="234"/>
    </row>
    <row r="10" spans="1:6" s="318" customFormat="1" ht="12" customHeight="1" x14ac:dyDescent="0.2">
      <c r="A10" s="13" t="s">
        <v>158</v>
      </c>
      <c r="B10" s="229" t="s">
        <v>549</v>
      </c>
      <c r="C10" s="546">
        <f t="shared" si="0"/>
        <v>63796813</v>
      </c>
      <c r="D10" s="411">
        <v>63796813</v>
      </c>
      <c r="E10" s="237"/>
      <c r="F10" s="237"/>
    </row>
    <row r="11" spans="1:6" s="318" customFormat="1" ht="12" customHeight="1" thickBot="1" x14ac:dyDescent="0.25">
      <c r="A11" s="15" t="s">
        <v>118</v>
      </c>
      <c r="B11" s="230" t="s">
        <v>550</v>
      </c>
      <c r="C11" s="547">
        <f t="shared" si="0"/>
        <v>0</v>
      </c>
      <c r="D11" s="217"/>
      <c r="E11" s="234"/>
      <c r="F11" s="234"/>
    </row>
    <row r="12" spans="1:6" s="318" customFormat="1" ht="12" customHeight="1" thickBot="1" x14ac:dyDescent="0.25">
      <c r="A12" s="19" t="s">
        <v>32</v>
      </c>
      <c r="B12" s="228" t="s">
        <v>265</v>
      </c>
      <c r="C12" s="238">
        <f t="shared" si="0"/>
        <v>149299645</v>
      </c>
      <c r="D12" s="443">
        <f>+D13+D14+D15+D16+D17</f>
        <v>129787110</v>
      </c>
      <c r="E12" s="233">
        <f>+E13+E14+E15+E16+E17</f>
        <v>0</v>
      </c>
      <c r="F12" s="233">
        <f>+F13+F14+F15+F16+F17</f>
        <v>19512535</v>
      </c>
    </row>
    <row r="13" spans="1:6" s="318" customFormat="1" ht="12" customHeight="1" x14ac:dyDescent="0.2">
      <c r="A13" s="14" t="s">
        <v>120</v>
      </c>
      <c r="B13" s="319" t="s">
        <v>266</v>
      </c>
      <c r="C13" s="545">
        <f t="shared" si="0"/>
        <v>0</v>
      </c>
      <c r="D13" s="446"/>
      <c r="E13" s="235"/>
      <c r="F13" s="235"/>
    </row>
    <row r="14" spans="1:6" s="318" customFormat="1" ht="12" customHeight="1" x14ac:dyDescent="0.2">
      <c r="A14" s="13" t="s">
        <v>121</v>
      </c>
      <c r="B14" s="320" t="s">
        <v>267</v>
      </c>
      <c r="C14" s="546">
        <f t="shared" si="0"/>
        <v>0</v>
      </c>
      <c r="D14" s="217"/>
      <c r="E14" s="234"/>
      <c r="F14" s="234"/>
    </row>
    <row r="15" spans="1:6" s="318" customFormat="1" ht="12" customHeight="1" x14ac:dyDescent="0.2">
      <c r="A15" s="13" t="s">
        <v>122</v>
      </c>
      <c r="B15" s="320" t="s">
        <v>436</v>
      </c>
      <c r="C15" s="546">
        <f t="shared" si="0"/>
        <v>0</v>
      </c>
      <c r="D15" s="217"/>
      <c r="E15" s="234"/>
      <c r="F15" s="234"/>
    </row>
    <row r="16" spans="1:6" s="318" customFormat="1" ht="12" customHeight="1" x14ac:dyDescent="0.2">
      <c r="A16" s="13" t="s">
        <v>123</v>
      </c>
      <c r="B16" s="320" t="s">
        <v>437</v>
      </c>
      <c r="C16" s="546">
        <f t="shared" si="0"/>
        <v>0</v>
      </c>
      <c r="D16" s="217"/>
      <c r="E16" s="234"/>
      <c r="F16" s="234"/>
    </row>
    <row r="17" spans="1:6" s="318" customFormat="1" ht="12" customHeight="1" x14ac:dyDescent="0.2">
      <c r="A17" s="13" t="s">
        <v>124</v>
      </c>
      <c r="B17" s="320" t="s">
        <v>268</v>
      </c>
      <c r="C17" s="546">
        <f t="shared" si="0"/>
        <v>149299645</v>
      </c>
      <c r="D17" s="411">
        <f>3900000+125887110</f>
        <v>129787110</v>
      </c>
      <c r="E17" s="413"/>
      <c r="F17" s="237">
        <v>19512535</v>
      </c>
    </row>
    <row r="18" spans="1:6" s="318" customFormat="1" ht="12" customHeight="1" thickBot="1" x14ac:dyDescent="0.25">
      <c r="A18" s="15" t="s">
        <v>133</v>
      </c>
      <c r="B18" s="230" t="s">
        <v>269</v>
      </c>
      <c r="C18" s="547">
        <f t="shared" si="0"/>
        <v>399535</v>
      </c>
      <c r="D18" s="415"/>
      <c r="E18" s="308"/>
      <c r="F18" s="308">
        <v>399535</v>
      </c>
    </row>
    <row r="19" spans="1:6" s="318" customFormat="1" ht="12" customHeight="1" thickBot="1" x14ac:dyDescent="0.25">
      <c r="A19" s="19" t="s">
        <v>33</v>
      </c>
      <c r="B19" s="20" t="s">
        <v>270</v>
      </c>
      <c r="C19" s="412">
        <f t="shared" si="0"/>
        <v>0</v>
      </c>
      <c r="D19" s="443">
        <f>+D20+D21+D22+D23+D24</f>
        <v>0</v>
      </c>
      <c r="E19" s="233">
        <f>+E20+E21+E22+E23+E24</f>
        <v>0</v>
      </c>
      <c r="F19" s="233">
        <f>+F20+F21+F22+F23+F24</f>
        <v>0</v>
      </c>
    </row>
    <row r="20" spans="1:6" s="318" customFormat="1" ht="12" customHeight="1" x14ac:dyDescent="0.2">
      <c r="A20" s="14" t="s">
        <v>103</v>
      </c>
      <c r="B20" s="319" t="s">
        <v>271</v>
      </c>
      <c r="C20" s="545">
        <f t="shared" si="0"/>
        <v>0</v>
      </c>
      <c r="D20" s="446"/>
      <c r="E20" s="410"/>
      <c r="F20" s="235"/>
    </row>
    <row r="21" spans="1:6" s="318" customFormat="1" ht="12" customHeight="1" x14ac:dyDescent="0.2">
      <c r="A21" s="13" t="s">
        <v>104</v>
      </c>
      <c r="B21" s="320" t="s">
        <v>272</v>
      </c>
      <c r="C21" s="546">
        <f t="shared" si="0"/>
        <v>0</v>
      </c>
      <c r="D21" s="217"/>
      <c r="E21" s="237"/>
      <c r="F21" s="234"/>
    </row>
    <row r="22" spans="1:6" s="318" customFormat="1" ht="12" customHeight="1" x14ac:dyDescent="0.2">
      <c r="A22" s="13" t="s">
        <v>105</v>
      </c>
      <c r="B22" s="320" t="s">
        <v>438</v>
      </c>
      <c r="C22" s="546">
        <f t="shared" si="0"/>
        <v>0</v>
      </c>
      <c r="D22" s="217"/>
      <c r="E22" s="237"/>
      <c r="F22" s="234"/>
    </row>
    <row r="23" spans="1:6" s="318" customFormat="1" ht="12" customHeight="1" x14ac:dyDescent="0.2">
      <c r="A23" s="13" t="s">
        <v>106</v>
      </c>
      <c r="B23" s="320" t="s">
        <v>439</v>
      </c>
      <c r="C23" s="546">
        <f t="shared" si="0"/>
        <v>0</v>
      </c>
      <c r="D23" s="217"/>
      <c r="E23" s="237"/>
      <c r="F23" s="234"/>
    </row>
    <row r="24" spans="1:6" s="318" customFormat="1" ht="12" customHeight="1" x14ac:dyDescent="0.2">
      <c r="A24" s="13" t="s">
        <v>178</v>
      </c>
      <c r="B24" s="320" t="s">
        <v>273</v>
      </c>
      <c r="C24" s="546">
        <f t="shared" si="0"/>
        <v>0</v>
      </c>
      <c r="D24" s="411"/>
      <c r="E24" s="237"/>
      <c r="F24" s="237"/>
    </row>
    <row r="25" spans="1:6" s="318" customFormat="1" ht="12" customHeight="1" thickBot="1" x14ac:dyDescent="0.25">
      <c r="A25" s="15" t="s">
        <v>179</v>
      </c>
      <c r="B25" s="321" t="s">
        <v>274</v>
      </c>
      <c r="C25" s="547">
        <f t="shared" si="0"/>
        <v>0</v>
      </c>
      <c r="D25" s="415"/>
      <c r="E25" s="308"/>
      <c r="F25" s="308"/>
    </row>
    <row r="26" spans="1:6" s="318" customFormat="1" ht="12" customHeight="1" thickBot="1" x14ac:dyDescent="0.25">
      <c r="A26" s="19" t="s">
        <v>180</v>
      </c>
      <c r="B26" s="20" t="s">
        <v>275</v>
      </c>
      <c r="C26" s="412">
        <f t="shared" si="0"/>
        <v>0</v>
      </c>
      <c r="D26" s="448">
        <f>+D27+D31+D32+D33</f>
        <v>0</v>
      </c>
      <c r="E26" s="238">
        <f>+E27+E31+E32+E33</f>
        <v>0</v>
      </c>
      <c r="F26" s="238">
        <f>+F27+F31+F32+F33</f>
        <v>0</v>
      </c>
    </row>
    <row r="27" spans="1:6" s="318" customFormat="1" ht="12" customHeight="1" x14ac:dyDescent="0.2">
      <c r="A27" s="14" t="s">
        <v>276</v>
      </c>
      <c r="B27" s="319" t="s">
        <v>551</v>
      </c>
      <c r="C27" s="545">
        <f t="shared" si="0"/>
        <v>0</v>
      </c>
      <c r="D27" s="527">
        <f>+D28+D29+D30</f>
        <v>0</v>
      </c>
      <c r="E27" s="314"/>
      <c r="F27" s="314">
        <f>+F28+F29+F30</f>
        <v>0</v>
      </c>
    </row>
    <row r="28" spans="1:6" s="318" customFormat="1" ht="12" customHeight="1" x14ac:dyDescent="0.2">
      <c r="A28" s="13" t="s">
        <v>277</v>
      </c>
      <c r="B28" s="320" t="s">
        <v>282</v>
      </c>
      <c r="C28" s="546">
        <f t="shared" si="0"/>
        <v>0</v>
      </c>
      <c r="D28" s="217"/>
      <c r="E28" s="234"/>
      <c r="F28" s="234"/>
    </row>
    <row r="29" spans="1:6" s="318" customFormat="1" ht="12" customHeight="1" x14ac:dyDescent="0.2">
      <c r="A29" s="13" t="s">
        <v>278</v>
      </c>
      <c r="B29" s="320" t="s">
        <v>283</v>
      </c>
      <c r="C29" s="546">
        <f t="shared" si="0"/>
        <v>0</v>
      </c>
      <c r="D29" s="217"/>
      <c r="E29" s="234"/>
      <c r="F29" s="234"/>
    </row>
    <row r="30" spans="1:6" s="318" customFormat="1" ht="12" customHeight="1" x14ac:dyDescent="0.2">
      <c r="A30" s="13" t="s">
        <v>552</v>
      </c>
      <c r="B30" s="391" t="s">
        <v>553</v>
      </c>
      <c r="C30" s="546">
        <f t="shared" si="0"/>
        <v>0</v>
      </c>
      <c r="D30" s="217"/>
      <c r="E30" s="237"/>
      <c r="F30" s="234"/>
    </row>
    <row r="31" spans="1:6" s="318" customFormat="1" ht="12" customHeight="1" x14ac:dyDescent="0.2">
      <c r="A31" s="13" t="s">
        <v>279</v>
      </c>
      <c r="B31" s="320" t="s">
        <v>284</v>
      </c>
      <c r="C31" s="546">
        <f t="shared" si="0"/>
        <v>0</v>
      </c>
      <c r="D31" s="217"/>
      <c r="E31" s="234"/>
      <c r="F31" s="234"/>
    </row>
    <row r="32" spans="1:6" s="318" customFormat="1" ht="12" customHeight="1" x14ac:dyDescent="0.2">
      <c r="A32" s="13" t="s">
        <v>280</v>
      </c>
      <c r="B32" s="320" t="s">
        <v>285</v>
      </c>
      <c r="C32" s="546">
        <f t="shared" si="0"/>
        <v>0</v>
      </c>
      <c r="D32" s="217"/>
      <c r="E32" s="234"/>
      <c r="F32" s="234"/>
    </row>
    <row r="33" spans="1:6" s="318" customFormat="1" ht="12" customHeight="1" thickBot="1" x14ac:dyDescent="0.25">
      <c r="A33" s="15" t="s">
        <v>281</v>
      </c>
      <c r="B33" s="321" t="s">
        <v>286</v>
      </c>
      <c r="C33" s="547">
        <f t="shared" si="0"/>
        <v>0</v>
      </c>
      <c r="D33" s="218"/>
      <c r="E33" s="308"/>
      <c r="F33" s="236"/>
    </row>
    <row r="34" spans="1:6" s="318" customFormat="1" ht="12" customHeight="1" thickBot="1" x14ac:dyDescent="0.25">
      <c r="A34" s="19" t="s">
        <v>35</v>
      </c>
      <c r="B34" s="20" t="s">
        <v>554</v>
      </c>
      <c r="C34" s="238">
        <f t="shared" si="0"/>
        <v>195061386</v>
      </c>
      <c r="D34" s="443">
        <f>SUM(D35:D45)</f>
        <v>15502000</v>
      </c>
      <c r="E34" s="233">
        <f>SUM(E35:E45)</f>
        <v>635000</v>
      </c>
      <c r="F34" s="233">
        <f>SUM(F35:F45)</f>
        <v>178924386</v>
      </c>
    </row>
    <row r="35" spans="1:6" s="318" customFormat="1" ht="12" customHeight="1" x14ac:dyDescent="0.2">
      <c r="A35" s="14" t="s">
        <v>107</v>
      </c>
      <c r="B35" s="319" t="s">
        <v>289</v>
      </c>
      <c r="C35" s="545">
        <f t="shared" si="0"/>
        <v>12159000</v>
      </c>
      <c r="D35" s="446">
        <v>12159000</v>
      </c>
      <c r="E35" s="357"/>
      <c r="F35" s="235"/>
    </row>
    <row r="36" spans="1:6" s="318" customFormat="1" ht="12" customHeight="1" x14ac:dyDescent="0.2">
      <c r="A36" s="13" t="s">
        <v>108</v>
      </c>
      <c r="B36" s="320" t="s">
        <v>290</v>
      </c>
      <c r="C36" s="546">
        <f t="shared" si="0"/>
        <v>6296728</v>
      </c>
      <c r="D36" s="411"/>
      <c r="E36" s="237">
        <v>500000</v>
      </c>
      <c r="F36" s="235">
        <v>5796728</v>
      </c>
    </row>
    <row r="37" spans="1:6" s="318" customFormat="1" ht="12" customHeight="1" x14ac:dyDescent="0.2">
      <c r="A37" s="13" t="s">
        <v>109</v>
      </c>
      <c r="B37" s="320" t="s">
        <v>291</v>
      </c>
      <c r="C37" s="546">
        <f t="shared" si="0"/>
        <v>12700000</v>
      </c>
      <c r="D37" s="411"/>
      <c r="E37" s="237"/>
      <c r="F37" s="235">
        <v>12700000</v>
      </c>
    </row>
    <row r="38" spans="1:6" s="318" customFormat="1" ht="12" customHeight="1" x14ac:dyDescent="0.2">
      <c r="A38" s="13" t="s">
        <v>182</v>
      </c>
      <c r="B38" s="320" t="s">
        <v>292</v>
      </c>
      <c r="C38" s="546">
        <f t="shared" si="0"/>
        <v>0</v>
      </c>
      <c r="D38" s="217"/>
      <c r="E38" s="237"/>
      <c r="F38" s="235"/>
    </row>
    <row r="39" spans="1:6" s="318" customFormat="1" ht="12" customHeight="1" x14ac:dyDescent="0.2">
      <c r="A39" s="13" t="s">
        <v>183</v>
      </c>
      <c r="B39" s="320" t="s">
        <v>293</v>
      </c>
      <c r="C39" s="546">
        <f t="shared" si="0"/>
        <v>157919035</v>
      </c>
      <c r="D39" s="217"/>
      <c r="E39" s="237"/>
      <c r="F39" s="235">
        <v>157919035</v>
      </c>
    </row>
    <row r="40" spans="1:6" s="318" customFormat="1" ht="12" customHeight="1" x14ac:dyDescent="0.2">
      <c r="A40" s="13" t="s">
        <v>184</v>
      </c>
      <c r="B40" s="320" t="s">
        <v>294</v>
      </c>
      <c r="C40" s="546">
        <f t="shared" si="0"/>
        <v>5926623</v>
      </c>
      <c r="D40" s="217">
        <v>3283000</v>
      </c>
      <c r="E40" s="237">
        <v>135000</v>
      </c>
      <c r="F40" s="235">
        <v>2508623</v>
      </c>
    </row>
    <row r="41" spans="1:6" s="318" customFormat="1" ht="12" customHeight="1" x14ac:dyDescent="0.2">
      <c r="A41" s="13" t="s">
        <v>185</v>
      </c>
      <c r="B41" s="320" t="s">
        <v>295</v>
      </c>
      <c r="C41" s="546">
        <f t="shared" si="0"/>
        <v>0</v>
      </c>
      <c r="D41" s="217"/>
      <c r="E41" s="237"/>
      <c r="F41" s="235"/>
    </row>
    <row r="42" spans="1:6" s="318" customFormat="1" ht="12" customHeight="1" x14ac:dyDescent="0.2">
      <c r="A42" s="13" t="s">
        <v>186</v>
      </c>
      <c r="B42" s="320" t="s">
        <v>665</v>
      </c>
      <c r="C42" s="546">
        <f t="shared" si="0"/>
        <v>0</v>
      </c>
      <c r="D42" s="217"/>
      <c r="E42" s="237"/>
      <c r="F42" s="237"/>
    </row>
    <row r="43" spans="1:6" s="318" customFormat="1" ht="12" customHeight="1" x14ac:dyDescent="0.2">
      <c r="A43" s="13" t="s">
        <v>287</v>
      </c>
      <c r="B43" s="320" t="s">
        <v>297</v>
      </c>
      <c r="C43" s="546">
        <f t="shared" si="0"/>
        <v>0</v>
      </c>
      <c r="D43" s="411"/>
      <c r="E43" s="237"/>
      <c r="F43" s="237"/>
    </row>
    <row r="44" spans="1:6" s="318" customFormat="1" ht="12" customHeight="1" x14ac:dyDescent="0.2">
      <c r="A44" s="15" t="s">
        <v>288</v>
      </c>
      <c r="B44" s="321" t="s">
        <v>555</v>
      </c>
      <c r="C44" s="546">
        <f t="shared" si="0"/>
        <v>0</v>
      </c>
      <c r="D44" s="415"/>
      <c r="E44" s="308"/>
      <c r="F44" s="308"/>
    </row>
    <row r="45" spans="1:6" s="318" customFormat="1" ht="12" customHeight="1" thickBot="1" x14ac:dyDescent="0.25">
      <c r="A45" s="15" t="s">
        <v>556</v>
      </c>
      <c r="B45" s="230" t="s">
        <v>298</v>
      </c>
      <c r="C45" s="547">
        <f t="shared" si="0"/>
        <v>60000</v>
      </c>
      <c r="D45" s="415">
        <v>60000</v>
      </c>
      <c r="E45" s="308"/>
      <c r="F45" s="308"/>
    </row>
    <row r="46" spans="1:6" s="318" customFormat="1" ht="12" customHeight="1" thickBot="1" x14ac:dyDescent="0.25">
      <c r="A46" s="19" t="s">
        <v>36</v>
      </c>
      <c r="B46" s="20" t="s">
        <v>299</v>
      </c>
      <c r="C46" s="238">
        <f t="shared" si="0"/>
        <v>0</v>
      </c>
      <c r="D46" s="443">
        <f>SUM(D47:D51)</f>
        <v>0</v>
      </c>
      <c r="E46" s="233">
        <f>SUM(E47:E51)</f>
        <v>0</v>
      </c>
      <c r="F46" s="233">
        <f>SUM(F47:F51)</f>
        <v>0</v>
      </c>
    </row>
    <row r="47" spans="1:6" s="318" customFormat="1" ht="12" customHeight="1" x14ac:dyDescent="0.2">
      <c r="A47" s="14" t="s">
        <v>110</v>
      </c>
      <c r="B47" s="319" t="s">
        <v>303</v>
      </c>
      <c r="C47" s="545">
        <f t="shared" si="0"/>
        <v>0</v>
      </c>
      <c r="D47" s="451"/>
      <c r="E47" s="357"/>
      <c r="F47" s="357"/>
    </row>
    <row r="48" spans="1:6" s="318" customFormat="1" ht="12" customHeight="1" x14ac:dyDescent="0.2">
      <c r="A48" s="13" t="s">
        <v>111</v>
      </c>
      <c r="B48" s="320" t="s">
        <v>304</v>
      </c>
      <c r="C48" s="546">
        <f t="shared" si="0"/>
        <v>0</v>
      </c>
      <c r="D48" s="411"/>
      <c r="E48" s="237"/>
      <c r="F48" s="237"/>
    </row>
    <row r="49" spans="1:6" s="318" customFormat="1" ht="12" customHeight="1" x14ac:dyDescent="0.2">
      <c r="A49" s="13" t="s">
        <v>300</v>
      </c>
      <c r="B49" s="320" t="s">
        <v>305</v>
      </c>
      <c r="C49" s="546">
        <f t="shared" si="0"/>
        <v>0</v>
      </c>
      <c r="D49" s="411"/>
      <c r="E49" s="237"/>
      <c r="F49" s="237"/>
    </row>
    <row r="50" spans="1:6" s="318" customFormat="1" ht="12" customHeight="1" x14ac:dyDescent="0.2">
      <c r="A50" s="13" t="s">
        <v>301</v>
      </c>
      <c r="B50" s="320" t="s">
        <v>306</v>
      </c>
      <c r="C50" s="546">
        <f t="shared" si="0"/>
        <v>0</v>
      </c>
      <c r="D50" s="411"/>
      <c r="E50" s="237"/>
      <c r="F50" s="237"/>
    </row>
    <row r="51" spans="1:6" s="318" customFormat="1" ht="12" customHeight="1" thickBot="1" x14ac:dyDescent="0.25">
      <c r="A51" s="15" t="s">
        <v>302</v>
      </c>
      <c r="B51" s="230" t="s">
        <v>307</v>
      </c>
      <c r="C51" s="547">
        <f t="shared" si="0"/>
        <v>0</v>
      </c>
      <c r="D51" s="415"/>
      <c r="E51" s="308"/>
      <c r="F51" s="308"/>
    </row>
    <row r="52" spans="1:6" s="318" customFormat="1" ht="12" customHeight="1" thickBot="1" x14ac:dyDescent="0.25">
      <c r="A52" s="19" t="s">
        <v>187</v>
      </c>
      <c r="B52" s="20" t="s">
        <v>308</v>
      </c>
      <c r="C52" s="238">
        <f t="shared" si="0"/>
        <v>1866000</v>
      </c>
      <c r="D52" s="443">
        <f>SUM(D53:D55)</f>
        <v>1866000</v>
      </c>
      <c r="E52" s="233">
        <f>SUM(E53:E55)</f>
        <v>0</v>
      </c>
      <c r="F52" s="233">
        <f>SUM(F53:F55)</f>
        <v>0</v>
      </c>
    </row>
    <row r="53" spans="1:6" s="318" customFormat="1" ht="12" customHeight="1" x14ac:dyDescent="0.2">
      <c r="A53" s="14" t="s">
        <v>112</v>
      </c>
      <c r="B53" s="319" t="s">
        <v>309</v>
      </c>
      <c r="C53" s="545">
        <f t="shared" si="0"/>
        <v>0</v>
      </c>
      <c r="D53" s="446"/>
      <c r="E53" s="235"/>
      <c r="F53" s="235"/>
    </row>
    <row r="54" spans="1:6" s="318" customFormat="1" ht="12" customHeight="1" x14ac:dyDescent="0.2">
      <c r="A54" s="13" t="s">
        <v>113</v>
      </c>
      <c r="B54" s="320" t="s">
        <v>440</v>
      </c>
      <c r="C54" s="546">
        <f t="shared" si="0"/>
        <v>1866000</v>
      </c>
      <c r="D54" s="411">
        <f>300000+1566000</f>
        <v>1866000</v>
      </c>
      <c r="E54" s="237"/>
      <c r="F54" s="237"/>
    </row>
    <row r="55" spans="1:6" s="318" customFormat="1" ht="12" customHeight="1" x14ac:dyDescent="0.2">
      <c r="A55" s="13" t="s">
        <v>312</v>
      </c>
      <c r="B55" s="320" t="s">
        <v>310</v>
      </c>
      <c r="C55" s="546">
        <f t="shared" si="0"/>
        <v>0</v>
      </c>
      <c r="D55" s="411"/>
      <c r="E55" s="237"/>
      <c r="F55" s="237"/>
    </row>
    <row r="56" spans="1:6" s="318" customFormat="1" ht="12" customHeight="1" thickBot="1" x14ac:dyDescent="0.25">
      <c r="A56" s="15" t="s">
        <v>313</v>
      </c>
      <c r="B56" s="230" t="s">
        <v>311</v>
      </c>
      <c r="C56" s="547">
        <f t="shared" si="0"/>
        <v>0</v>
      </c>
      <c r="D56" s="218"/>
      <c r="E56" s="236"/>
      <c r="F56" s="236"/>
    </row>
    <row r="57" spans="1:6" s="318" customFormat="1" ht="12" customHeight="1" thickBot="1" x14ac:dyDescent="0.25">
      <c r="A57" s="19" t="s">
        <v>38</v>
      </c>
      <c r="B57" s="228" t="s">
        <v>314</v>
      </c>
      <c r="C57" s="238">
        <f t="shared" si="0"/>
        <v>0</v>
      </c>
      <c r="D57" s="443">
        <f>SUM(D58:D60)</f>
        <v>0</v>
      </c>
      <c r="E57" s="233">
        <f>SUM(E58:E60)</f>
        <v>0</v>
      </c>
      <c r="F57" s="233">
        <f>SUM(F58:F60)</f>
        <v>0</v>
      </c>
    </row>
    <row r="58" spans="1:6" s="318" customFormat="1" ht="12" customHeight="1" x14ac:dyDescent="0.2">
      <c r="A58" s="14" t="s">
        <v>188</v>
      </c>
      <c r="B58" s="319" t="s">
        <v>316</v>
      </c>
      <c r="C58" s="545">
        <f t="shared" si="0"/>
        <v>0</v>
      </c>
      <c r="D58" s="411"/>
      <c r="E58" s="237"/>
      <c r="F58" s="237"/>
    </row>
    <row r="59" spans="1:6" s="318" customFormat="1" ht="12" customHeight="1" x14ac:dyDescent="0.2">
      <c r="A59" s="13" t="s">
        <v>189</v>
      </c>
      <c r="B59" s="320" t="s">
        <v>441</v>
      </c>
      <c r="C59" s="546">
        <f t="shared" si="0"/>
        <v>0</v>
      </c>
      <c r="D59" s="411"/>
      <c r="E59" s="237"/>
      <c r="F59" s="237"/>
    </row>
    <row r="60" spans="1:6" s="318" customFormat="1" ht="12" customHeight="1" x14ac:dyDescent="0.2">
      <c r="A60" s="13" t="s">
        <v>237</v>
      </c>
      <c r="B60" s="320" t="s">
        <v>317</v>
      </c>
      <c r="C60" s="546">
        <f t="shared" si="0"/>
        <v>0</v>
      </c>
      <c r="D60" s="411"/>
      <c r="E60" s="237"/>
      <c r="F60" s="237"/>
    </row>
    <row r="61" spans="1:6" s="318" customFormat="1" ht="12" customHeight="1" thickBot="1" x14ac:dyDescent="0.25">
      <c r="A61" s="15" t="s">
        <v>315</v>
      </c>
      <c r="B61" s="230" t="s">
        <v>318</v>
      </c>
      <c r="C61" s="547">
        <f t="shared" si="0"/>
        <v>0</v>
      </c>
      <c r="D61" s="411"/>
      <c r="E61" s="237"/>
      <c r="F61" s="237"/>
    </row>
    <row r="62" spans="1:6" s="318" customFormat="1" ht="12" customHeight="1" thickBot="1" x14ac:dyDescent="0.25">
      <c r="A62" s="392" t="s">
        <v>557</v>
      </c>
      <c r="B62" s="20" t="s">
        <v>319</v>
      </c>
      <c r="C62" s="238">
        <f t="shared" si="0"/>
        <v>542055844</v>
      </c>
      <c r="D62" s="448">
        <f>+D5+D12+D19+D26+D34+D46+D52+D57</f>
        <v>342983923</v>
      </c>
      <c r="E62" s="238">
        <f>+E5+E12+E19+E26+E34+E46+E52+E57</f>
        <v>635000</v>
      </c>
      <c r="F62" s="238">
        <f>+F5+F12+F19+F26+F34+F46+F52+F57</f>
        <v>198436921</v>
      </c>
    </row>
    <row r="63" spans="1:6" s="318" customFormat="1" ht="12" customHeight="1" thickBot="1" x14ac:dyDescent="0.25">
      <c r="A63" s="393" t="s">
        <v>320</v>
      </c>
      <c r="B63" s="228" t="s">
        <v>321</v>
      </c>
      <c r="C63" s="238">
        <f t="shared" si="0"/>
        <v>0</v>
      </c>
      <c r="D63" s="443">
        <f>SUM(D64:D66)</f>
        <v>0</v>
      </c>
      <c r="E63" s="233">
        <f>SUM(E64:E66)</f>
        <v>0</v>
      </c>
      <c r="F63" s="412">
        <f>SUM(F64:F66)</f>
        <v>0</v>
      </c>
    </row>
    <row r="64" spans="1:6" s="318" customFormat="1" ht="12" customHeight="1" x14ac:dyDescent="0.2">
      <c r="A64" s="14" t="s">
        <v>352</v>
      </c>
      <c r="B64" s="319" t="s">
        <v>322</v>
      </c>
      <c r="C64" s="545">
        <f t="shared" si="0"/>
        <v>0</v>
      </c>
      <c r="D64" s="416"/>
      <c r="E64" s="237"/>
      <c r="F64" s="237">
        <v>0</v>
      </c>
    </row>
    <row r="65" spans="1:6" s="318" customFormat="1" ht="12" customHeight="1" x14ac:dyDescent="0.2">
      <c r="A65" s="13" t="s">
        <v>361</v>
      </c>
      <c r="B65" s="320" t="s">
        <v>323</v>
      </c>
      <c r="C65" s="546">
        <f t="shared" si="0"/>
        <v>0</v>
      </c>
      <c r="D65" s="411"/>
      <c r="E65" s="237"/>
      <c r="F65" s="237"/>
    </row>
    <row r="66" spans="1:6" s="318" customFormat="1" ht="12" customHeight="1" thickBot="1" x14ac:dyDescent="0.25">
      <c r="A66" s="15" t="s">
        <v>362</v>
      </c>
      <c r="B66" s="394" t="s">
        <v>558</v>
      </c>
      <c r="C66" s="547">
        <f t="shared" si="0"/>
        <v>0</v>
      </c>
      <c r="D66" s="411"/>
      <c r="E66" s="237"/>
      <c r="F66" s="237"/>
    </row>
    <row r="67" spans="1:6" s="318" customFormat="1" ht="12" customHeight="1" thickBot="1" x14ac:dyDescent="0.25">
      <c r="A67" s="393" t="s">
        <v>325</v>
      </c>
      <c r="B67" s="228" t="s">
        <v>326</v>
      </c>
      <c r="C67" s="412">
        <f t="shared" si="0"/>
        <v>0</v>
      </c>
      <c r="D67" s="443">
        <f>SUM(D68:D71)</f>
        <v>0</v>
      </c>
      <c r="E67" s="233">
        <f>SUM(E68:E71)</f>
        <v>0</v>
      </c>
      <c r="F67" s="233">
        <f>SUM(F68:F71)</f>
        <v>0</v>
      </c>
    </row>
    <row r="68" spans="1:6" s="318" customFormat="1" ht="12" customHeight="1" x14ac:dyDescent="0.2">
      <c r="A68" s="14" t="s">
        <v>159</v>
      </c>
      <c r="B68" s="319" t="s">
        <v>327</v>
      </c>
      <c r="C68" s="545">
        <f t="shared" si="0"/>
        <v>0</v>
      </c>
      <c r="D68" s="411"/>
      <c r="E68" s="237"/>
      <c r="F68" s="237"/>
    </row>
    <row r="69" spans="1:6" s="318" customFormat="1" ht="12" customHeight="1" x14ac:dyDescent="0.2">
      <c r="A69" s="13" t="s">
        <v>160</v>
      </c>
      <c r="B69" s="320" t="s">
        <v>328</v>
      </c>
      <c r="C69" s="546">
        <f t="shared" ref="C69:C87" si="1">SUM(D69:F69)</f>
        <v>0</v>
      </c>
      <c r="D69" s="411"/>
      <c r="E69" s="237"/>
      <c r="F69" s="237"/>
    </row>
    <row r="70" spans="1:6" s="318" customFormat="1" ht="12" customHeight="1" x14ac:dyDescent="0.2">
      <c r="A70" s="13" t="s">
        <v>353</v>
      </c>
      <c r="B70" s="320" t="s">
        <v>329</v>
      </c>
      <c r="C70" s="546">
        <f t="shared" si="1"/>
        <v>0</v>
      </c>
      <c r="D70" s="411"/>
      <c r="E70" s="237"/>
      <c r="F70" s="237"/>
    </row>
    <row r="71" spans="1:6" s="318" customFormat="1" ht="12" customHeight="1" thickBot="1" x14ac:dyDescent="0.25">
      <c r="A71" s="15" t="s">
        <v>354</v>
      </c>
      <c r="B71" s="230" t="s">
        <v>330</v>
      </c>
      <c r="C71" s="547">
        <f t="shared" si="1"/>
        <v>0</v>
      </c>
      <c r="D71" s="411"/>
      <c r="E71" s="237"/>
      <c r="F71" s="237"/>
    </row>
    <row r="72" spans="1:6" s="318" customFormat="1" ht="12" customHeight="1" thickBot="1" x14ac:dyDescent="0.25">
      <c r="A72" s="393" t="s">
        <v>331</v>
      </c>
      <c r="B72" s="228" t="s">
        <v>332</v>
      </c>
      <c r="C72" s="238">
        <f t="shared" si="1"/>
        <v>18026960</v>
      </c>
      <c r="D72" s="443">
        <f>SUM(D73:D74)</f>
        <v>0</v>
      </c>
      <c r="E72" s="233">
        <f>SUM(E73:E74)</f>
        <v>0</v>
      </c>
      <c r="F72" s="233">
        <f>SUM(F73:F74)</f>
        <v>18026960</v>
      </c>
    </row>
    <row r="73" spans="1:6" s="318" customFormat="1" ht="12" customHeight="1" x14ac:dyDescent="0.2">
      <c r="A73" s="14" t="s">
        <v>355</v>
      </c>
      <c r="B73" s="319" t="s">
        <v>333</v>
      </c>
      <c r="C73" s="545">
        <f t="shared" si="1"/>
        <v>18026960</v>
      </c>
      <c r="D73" s="411"/>
      <c r="E73" s="237"/>
      <c r="F73" s="237">
        <v>18026960</v>
      </c>
    </row>
    <row r="74" spans="1:6" s="318" customFormat="1" ht="12" customHeight="1" thickBot="1" x14ac:dyDescent="0.25">
      <c r="A74" s="15" t="s">
        <v>356</v>
      </c>
      <c r="B74" s="230" t="s">
        <v>334</v>
      </c>
      <c r="C74" s="547">
        <f t="shared" si="1"/>
        <v>0</v>
      </c>
      <c r="D74" s="411"/>
      <c r="E74" s="237"/>
      <c r="F74" s="237"/>
    </row>
    <row r="75" spans="1:6" s="318" customFormat="1" ht="12" customHeight="1" thickBot="1" x14ac:dyDescent="0.25">
      <c r="A75" s="393" t="s">
        <v>335</v>
      </c>
      <c r="B75" s="228" t="s">
        <v>336</v>
      </c>
      <c r="C75" s="238">
        <f t="shared" si="1"/>
        <v>0</v>
      </c>
      <c r="D75" s="443">
        <f>SUM(D76:D78)</f>
        <v>0</v>
      </c>
      <c r="E75" s="233">
        <f>SUM(E76:E78)</f>
        <v>0</v>
      </c>
      <c r="F75" s="233">
        <f>SUM(F76:F78)</f>
        <v>0</v>
      </c>
    </row>
    <row r="76" spans="1:6" s="318" customFormat="1" ht="12" customHeight="1" x14ac:dyDescent="0.2">
      <c r="A76" s="14" t="s">
        <v>357</v>
      </c>
      <c r="B76" s="319" t="s">
        <v>337</v>
      </c>
      <c r="C76" s="545">
        <f t="shared" si="1"/>
        <v>0</v>
      </c>
      <c r="D76" s="411"/>
      <c r="E76" s="237"/>
      <c r="F76" s="237"/>
    </row>
    <row r="77" spans="1:6" s="318" customFormat="1" ht="12" customHeight="1" x14ac:dyDescent="0.2">
      <c r="A77" s="13" t="s">
        <v>358</v>
      </c>
      <c r="B77" s="320" t="s">
        <v>338</v>
      </c>
      <c r="C77" s="546">
        <f t="shared" si="1"/>
        <v>0</v>
      </c>
      <c r="D77" s="411"/>
      <c r="E77" s="237"/>
      <c r="F77" s="237"/>
    </row>
    <row r="78" spans="1:6" s="318" customFormat="1" ht="12" customHeight="1" thickBot="1" x14ac:dyDescent="0.25">
      <c r="A78" s="15" t="s">
        <v>359</v>
      </c>
      <c r="B78" s="230" t="s">
        <v>339</v>
      </c>
      <c r="C78" s="547">
        <f t="shared" si="1"/>
        <v>0</v>
      </c>
      <c r="D78" s="411"/>
      <c r="E78" s="237"/>
      <c r="F78" s="237"/>
    </row>
    <row r="79" spans="1:6" s="318" customFormat="1" ht="12" customHeight="1" thickBot="1" x14ac:dyDescent="0.25">
      <c r="A79" s="393" t="s">
        <v>340</v>
      </c>
      <c r="B79" s="228" t="s">
        <v>360</v>
      </c>
      <c r="C79" s="238">
        <f t="shared" si="1"/>
        <v>0</v>
      </c>
      <c r="D79" s="443">
        <f>SUM(D80:D83)</f>
        <v>0</v>
      </c>
      <c r="E79" s="233">
        <f>SUM(E80:E83)</f>
        <v>0</v>
      </c>
      <c r="F79" s="233">
        <f>SUM(F80:F83)</f>
        <v>0</v>
      </c>
    </row>
    <row r="80" spans="1:6" s="318" customFormat="1" ht="12" customHeight="1" x14ac:dyDescent="0.2">
      <c r="A80" s="323" t="s">
        <v>341</v>
      </c>
      <c r="B80" s="319" t="s">
        <v>342</v>
      </c>
      <c r="C80" s="545">
        <f t="shared" si="1"/>
        <v>0</v>
      </c>
      <c r="D80" s="411"/>
      <c r="E80" s="237"/>
      <c r="F80" s="237"/>
    </row>
    <row r="81" spans="1:6" s="318" customFormat="1" ht="12" customHeight="1" x14ac:dyDescent="0.2">
      <c r="A81" s="324" t="s">
        <v>343</v>
      </c>
      <c r="B81" s="320" t="s">
        <v>344</v>
      </c>
      <c r="C81" s="546">
        <f t="shared" si="1"/>
        <v>0</v>
      </c>
      <c r="D81" s="411"/>
      <c r="E81" s="237"/>
      <c r="F81" s="237"/>
    </row>
    <row r="82" spans="1:6" s="318" customFormat="1" ht="12" customHeight="1" x14ac:dyDescent="0.2">
      <c r="A82" s="324" t="s">
        <v>345</v>
      </c>
      <c r="B82" s="320" t="s">
        <v>346</v>
      </c>
      <c r="C82" s="546">
        <f t="shared" si="1"/>
        <v>0</v>
      </c>
      <c r="D82" s="411"/>
      <c r="E82" s="237"/>
      <c r="F82" s="237"/>
    </row>
    <row r="83" spans="1:6" s="318" customFormat="1" ht="12" customHeight="1" thickBot="1" x14ac:dyDescent="0.25">
      <c r="A83" s="325" t="s">
        <v>347</v>
      </c>
      <c r="B83" s="230" t="s">
        <v>348</v>
      </c>
      <c r="C83" s="547">
        <f t="shared" si="1"/>
        <v>0</v>
      </c>
      <c r="D83" s="411"/>
      <c r="E83" s="237"/>
      <c r="F83" s="237"/>
    </row>
    <row r="84" spans="1:6" s="318" customFormat="1" ht="12" customHeight="1" thickBot="1" x14ac:dyDescent="0.25">
      <c r="A84" s="393" t="s">
        <v>349</v>
      </c>
      <c r="B84" s="228" t="s">
        <v>559</v>
      </c>
      <c r="C84" s="233">
        <f t="shared" si="1"/>
        <v>0</v>
      </c>
      <c r="D84" s="453"/>
      <c r="E84" s="358"/>
      <c r="F84" s="358"/>
    </row>
    <row r="85" spans="1:6" s="318" customFormat="1" ht="13.5" customHeight="1" thickBot="1" x14ac:dyDescent="0.25">
      <c r="A85" s="393" t="s">
        <v>351</v>
      </c>
      <c r="B85" s="228" t="s">
        <v>350</v>
      </c>
      <c r="C85" s="233">
        <f t="shared" si="1"/>
        <v>0</v>
      </c>
      <c r="D85" s="453"/>
      <c r="E85" s="358"/>
      <c r="F85" s="358"/>
    </row>
    <row r="86" spans="1:6" s="318" customFormat="1" ht="15.75" customHeight="1" thickBot="1" x14ac:dyDescent="0.25">
      <c r="A86" s="393" t="s">
        <v>363</v>
      </c>
      <c r="B86" s="326" t="s">
        <v>560</v>
      </c>
      <c r="C86" s="233">
        <f t="shared" si="1"/>
        <v>18026960</v>
      </c>
      <c r="D86" s="448">
        <f>+D63+D67+D72+D75+D79+D85+D84</f>
        <v>0</v>
      </c>
      <c r="E86" s="238">
        <f>+E63+E67+E72+E75+E79+E85+E84</f>
        <v>0</v>
      </c>
      <c r="F86" s="238">
        <f>+F63+F67+F72+F75+F79+F85+F84</f>
        <v>18026960</v>
      </c>
    </row>
    <row r="87" spans="1:6" s="318" customFormat="1" ht="16.5" customHeight="1" thickBot="1" x14ac:dyDescent="0.25">
      <c r="A87" s="395" t="s">
        <v>561</v>
      </c>
      <c r="B87" s="327" t="s">
        <v>562</v>
      </c>
      <c r="C87" s="233">
        <f t="shared" si="1"/>
        <v>560082804</v>
      </c>
      <c r="D87" s="448">
        <f>+D62+D86</f>
        <v>342983923</v>
      </c>
      <c r="E87" s="238">
        <f>+E62+E86</f>
        <v>635000</v>
      </c>
      <c r="F87" s="238">
        <f>+F62+F86</f>
        <v>216463881</v>
      </c>
    </row>
    <row r="88" spans="1:6" s="318" customFormat="1" ht="83.25" customHeight="1" x14ac:dyDescent="0.2">
      <c r="A88" s="4"/>
      <c r="B88" s="5"/>
      <c r="C88" s="239"/>
    </row>
    <row r="89" spans="1:6" ht="16.5" customHeight="1" x14ac:dyDescent="0.25">
      <c r="A89" s="1171" t="s">
        <v>60</v>
      </c>
      <c r="B89" s="1171"/>
      <c r="C89" s="1171"/>
    </row>
    <row r="90" spans="1:6" s="328" customFormat="1" ht="16.5" customHeight="1" thickBot="1" x14ac:dyDescent="0.3">
      <c r="A90" s="1172" t="s">
        <v>162</v>
      </c>
      <c r="B90" s="1172"/>
      <c r="C90" s="104" t="s">
        <v>688</v>
      </c>
    </row>
    <row r="91" spans="1:6" ht="38.1" customHeight="1" thickBot="1" x14ac:dyDescent="0.3">
      <c r="A91" s="22" t="s">
        <v>84</v>
      </c>
      <c r="B91" s="23" t="s">
        <v>61</v>
      </c>
      <c r="C91" s="37" t="str">
        <f>+C3</f>
        <v>2018. évi előirányzat</v>
      </c>
    </row>
    <row r="92" spans="1:6" s="317" customFormat="1" ht="12" customHeight="1" thickBot="1" x14ac:dyDescent="0.25">
      <c r="A92" s="31" t="s">
        <v>546</v>
      </c>
      <c r="B92" s="32" t="s">
        <v>547</v>
      </c>
      <c r="C92" s="33" t="s">
        <v>548</v>
      </c>
    </row>
    <row r="93" spans="1:6" ht="12" customHeight="1" thickBot="1" x14ac:dyDescent="0.3">
      <c r="A93" s="21" t="s">
        <v>31</v>
      </c>
      <c r="B93" s="25" t="s">
        <v>600</v>
      </c>
      <c r="C93" s="233">
        <f t="shared" ref="C93:C154" si="2">SUM(D93:F93)</f>
        <v>671237596</v>
      </c>
      <c r="D93" s="457">
        <f>+D94+D95+D96+D97+D98+D111</f>
        <v>94940080</v>
      </c>
      <c r="E93" s="232">
        <f>+E94+E95+E96+E97+E98+E111</f>
        <v>7067754</v>
      </c>
      <c r="F93" s="233">
        <f>F94+F95+F96+F97+F98+F111</f>
        <v>569229762</v>
      </c>
    </row>
    <row r="94" spans="1:6" ht="12" customHeight="1" x14ac:dyDescent="0.25">
      <c r="A94" s="16" t="s">
        <v>114</v>
      </c>
      <c r="B94" s="9" t="s">
        <v>62</v>
      </c>
      <c r="C94" s="698">
        <f t="shared" si="2"/>
        <v>339706954</v>
      </c>
      <c r="D94" s="528">
        <f>75000+4401892+2491000</f>
        <v>6967892</v>
      </c>
      <c r="E94" s="420">
        <v>2528076</v>
      </c>
      <c r="F94" s="420">
        <v>330210986</v>
      </c>
    </row>
    <row r="95" spans="1:6" ht="12" customHeight="1" x14ac:dyDescent="0.25">
      <c r="A95" s="13" t="s">
        <v>115</v>
      </c>
      <c r="B95" s="7" t="s">
        <v>190</v>
      </c>
      <c r="C95" s="697">
        <f t="shared" si="2"/>
        <v>70968733</v>
      </c>
      <c r="D95" s="411">
        <f>13275+17258+773000+1015000</f>
        <v>1818533</v>
      </c>
      <c r="E95" s="237">
        <v>443678</v>
      </c>
      <c r="F95" s="237">
        <v>68706522</v>
      </c>
    </row>
    <row r="96" spans="1:6" ht="12" customHeight="1" x14ac:dyDescent="0.25">
      <c r="A96" s="13" t="s">
        <v>116</v>
      </c>
      <c r="B96" s="7" t="s">
        <v>151</v>
      </c>
      <c r="C96" s="697">
        <f t="shared" si="2"/>
        <v>234518909</v>
      </c>
      <c r="D96" s="415">
        <f>16099000+3082677+397000+194467+34200000+156511+2681000+3300000</f>
        <v>60110655</v>
      </c>
      <c r="E96" s="308">
        <v>4096000</v>
      </c>
      <c r="F96" s="237">
        <v>170312254</v>
      </c>
    </row>
    <row r="97" spans="1:6" ht="12" customHeight="1" x14ac:dyDescent="0.25">
      <c r="A97" s="13" t="s">
        <v>117</v>
      </c>
      <c r="B97" s="7" t="s">
        <v>191</v>
      </c>
      <c r="C97" s="546">
        <f t="shared" si="2"/>
        <v>0</v>
      </c>
      <c r="D97" s="415"/>
      <c r="E97" s="308"/>
      <c r="F97" s="237"/>
    </row>
    <row r="98" spans="1:6" ht="12" customHeight="1" x14ac:dyDescent="0.25">
      <c r="A98" s="13" t="s">
        <v>128</v>
      </c>
      <c r="B98" s="6" t="s">
        <v>192</v>
      </c>
      <c r="C98" s="546">
        <f t="shared" si="2"/>
        <v>26043000</v>
      </c>
      <c r="D98" s="415">
        <f>5950000+16000000+4093000</f>
        <v>26043000</v>
      </c>
      <c r="E98" s="308"/>
      <c r="F98" s="308"/>
    </row>
    <row r="99" spans="1:6" ht="12" customHeight="1" x14ac:dyDescent="0.25">
      <c r="A99" s="13" t="s">
        <v>118</v>
      </c>
      <c r="B99" s="7" t="s">
        <v>563</v>
      </c>
      <c r="C99" s="546">
        <f t="shared" si="2"/>
        <v>0</v>
      </c>
      <c r="D99" s="415"/>
      <c r="E99" s="308"/>
      <c r="F99" s="308"/>
    </row>
    <row r="100" spans="1:6" ht="12" customHeight="1" x14ac:dyDescent="0.25">
      <c r="A100" s="13" t="s">
        <v>119</v>
      </c>
      <c r="B100" s="108" t="s">
        <v>564</v>
      </c>
      <c r="C100" s="546">
        <f t="shared" si="2"/>
        <v>0</v>
      </c>
      <c r="D100" s="415"/>
      <c r="E100" s="308"/>
      <c r="F100" s="308"/>
    </row>
    <row r="101" spans="1:6" ht="12" customHeight="1" x14ac:dyDescent="0.25">
      <c r="A101" s="13" t="s">
        <v>129</v>
      </c>
      <c r="B101" s="108" t="s">
        <v>565</v>
      </c>
      <c r="C101" s="546">
        <f t="shared" si="2"/>
        <v>0</v>
      </c>
      <c r="D101" s="415"/>
      <c r="E101" s="308"/>
      <c r="F101" s="308"/>
    </row>
    <row r="102" spans="1:6" ht="12" customHeight="1" x14ac:dyDescent="0.25">
      <c r="A102" s="13" t="s">
        <v>130</v>
      </c>
      <c r="B102" s="106" t="s">
        <v>366</v>
      </c>
      <c r="C102" s="546">
        <f t="shared" si="2"/>
        <v>0</v>
      </c>
      <c r="D102" s="415"/>
      <c r="E102" s="308"/>
      <c r="F102" s="308"/>
    </row>
    <row r="103" spans="1:6" ht="12" customHeight="1" x14ac:dyDescent="0.25">
      <c r="A103" s="13" t="s">
        <v>131</v>
      </c>
      <c r="B103" s="107" t="s">
        <v>367</v>
      </c>
      <c r="C103" s="546">
        <f t="shared" si="2"/>
        <v>0</v>
      </c>
      <c r="D103" s="415"/>
      <c r="E103" s="308"/>
      <c r="F103" s="308"/>
    </row>
    <row r="104" spans="1:6" ht="12" customHeight="1" x14ac:dyDescent="0.25">
      <c r="A104" s="13" t="s">
        <v>132</v>
      </c>
      <c r="B104" s="107" t="s">
        <v>368</v>
      </c>
      <c r="C104" s="546">
        <f t="shared" si="2"/>
        <v>0</v>
      </c>
      <c r="D104" s="415"/>
      <c r="E104" s="308"/>
      <c r="F104" s="308"/>
    </row>
    <row r="105" spans="1:6" ht="12" customHeight="1" x14ac:dyDescent="0.25">
      <c r="A105" s="13" t="s">
        <v>134</v>
      </c>
      <c r="B105" s="106" t="s">
        <v>369</v>
      </c>
      <c r="C105" s="546">
        <f t="shared" si="2"/>
        <v>0</v>
      </c>
      <c r="D105" s="415"/>
      <c r="E105" s="308"/>
      <c r="F105" s="308"/>
    </row>
    <row r="106" spans="1:6" ht="12" customHeight="1" x14ac:dyDescent="0.25">
      <c r="A106" s="13" t="s">
        <v>193</v>
      </c>
      <c r="B106" s="106" t="s">
        <v>370</v>
      </c>
      <c r="C106" s="546">
        <f t="shared" si="2"/>
        <v>0</v>
      </c>
      <c r="D106" s="415"/>
      <c r="E106" s="308"/>
      <c r="F106" s="308"/>
    </row>
    <row r="107" spans="1:6" ht="12" customHeight="1" x14ac:dyDescent="0.25">
      <c r="A107" s="13" t="s">
        <v>364</v>
      </c>
      <c r="B107" s="107" t="s">
        <v>371</v>
      </c>
      <c r="C107" s="546">
        <f t="shared" si="2"/>
        <v>0</v>
      </c>
      <c r="D107" s="415"/>
      <c r="E107" s="308"/>
      <c r="F107" s="308"/>
    </row>
    <row r="108" spans="1:6" ht="12" customHeight="1" x14ac:dyDescent="0.25">
      <c r="A108" s="12" t="s">
        <v>365</v>
      </c>
      <c r="B108" s="108" t="s">
        <v>372</v>
      </c>
      <c r="C108" s="546">
        <f t="shared" si="2"/>
        <v>0</v>
      </c>
      <c r="D108" s="415"/>
      <c r="E108" s="308"/>
      <c r="F108" s="308"/>
    </row>
    <row r="109" spans="1:6" ht="12" customHeight="1" x14ac:dyDescent="0.25">
      <c r="A109" s="13" t="s">
        <v>566</v>
      </c>
      <c r="B109" s="108" t="s">
        <v>373</v>
      </c>
      <c r="C109" s="546">
        <f t="shared" si="2"/>
        <v>0</v>
      </c>
      <c r="D109" s="415"/>
      <c r="E109" s="308"/>
      <c r="F109" s="308"/>
    </row>
    <row r="110" spans="1:6" ht="12" customHeight="1" x14ac:dyDescent="0.25">
      <c r="A110" s="15" t="s">
        <v>567</v>
      </c>
      <c r="B110" s="108" t="s">
        <v>374</v>
      </c>
      <c r="C110" s="546">
        <f t="shared" si="2"/>
        <v>26043000</v>
      </c>
      <c r="D110" s="411">
        <f>5950000+16000000+4093000</f>
        <v>26043000</v>
      </c>
      <c r="E110" s="237"/>
      <c r="F110" s="424"/>
    </row>
    <row r="111" spans="1:6" ht="12" customHeight="1" x14ac:dyDescent="0.25">
      <c r="A111" s="13" t="s">
        <v>568</v>
      </c>
      <c r="B111" s="7" t="s">
        <v>63</v>
      </c>
      <c r="C111" s="546">
        <f t="shared" si="2"/>
        <v>0</v>
      </c>
      <c r="D111" s="217"/>
      <c r="E111" s="237"/>
      <c r="F111" s="234"/>
    </row>
    <row r="112" spans="1:6" ht="12" customHeight="1" x14ac:dyDescent="0.25">
      <c r="A112" s="13" t="s">
        <v>569</v>
      </c>
      <c r="B112" s="7" t="s">
        <v>570</v>
      </c>
      <c r="C112" s="546">
        <f t="shared" si="2"/>
        <v>0</v>
      </c>
      <c r="D112" s="218"/>
      <c r="E112" s="308"/>
      <c r="F112" s="234"/>
    </row>
    <row r="113" spans="1:6" ht="12" customHeight="1" thickBot="1" x14ac:dyDescent="0.3">
      <c r="A113" s="17" t="s">
        <v>571</v>
      </c>
      <c r="B113" s="396" t="s">
        <v>572</v>
      </c>
      <c r="C113" s="547">
        <f t="shared" si="2"/>
        <v>0</v>
      </c>
      <c r="D113" s="458"/>
      <c r="E113" s="431"/>
      <c r="F113" s="240"/>
    </row>
    <row r="114" spans="1:6" ht="12" customHeight="1" thickBot="1" x14ac:dyDescent="0.3">
      <c r="A114" s="397" t="s">
        <v>32</v>
      </c>
      <c r="B114" s="398" t="s">
        <v>375</v>
      </c>
      <c r="C114" s="238">
        <f t="shared" si="2"/>
        <v>24981291</v>
      </c>
      <c r="D114" s="443">
        <f>+D115+D117+D119</f>
        <v>13250673</v>
      </c>
      <c r="E114" s="233">
        <f>+E115+E117+E119</f>
        <v>0</v>
      </c>
      <c r="F114" s="399">
        <f>+F115+F117+F119</f>
        <v>11730618</v>
      </c>
    </row>
    <row r="115" spans="1:6" ht="12" customHeight="1" x14ac:dyDescent="0.25">
      <c r="A115" s="14" t="s">
        <v>120</v>
      </c>
      <c r="B115" s="7" t="s">
        <v>236</v>
      </c>
      <c r="C115" s="545">
        <f t="shared" si="2"/>
        <v>24981291</v>
      </c>
      <c r="D115" s="451">
        <f>12873483+377190</f>
        <v>13250673</v>
      </c>
      <c r="E115" s="357"/>
      <c r="F115" s="357">
        <v>11730618</v>
      </c>
    </row>
    <row r="116" spans="1:6" ht="12" customHeight="1" x14ac:dyDescent="0.25">
      <c r="A116" s="14" t="s">
        <v>121</v>
      </c>
      <c r="B116" s="11" t="s">
        <v>379</v>
      </c>
      <c r="C116" s="546">
        <f t="shared" si="2"/>
        <v>14946401</v>
      </c>
      <c r="D116" s="451">
        <v>12873483</v>
      </c>
      <c r="E116" s="357"/>
      <c r="F116" s="357">
        <v>2072918</v>
      </c>
    </row>
    <row r="117" spans="1:6" ht="12" customHeight="1" x14ac:dyDescent="0.25">
      <c r="A117" s="14" t="s">
        <v>122</v>
      </c>
      <c r="B117" s="11" t="s">
        <v>194</v>
      </c>
      <c r="C117" s="546">
        <f t="shared" si="2"/>
        <v>0</v>
      </c>
      <c r="D117" s="217"/>
      <c r="E117" s="237"/>
      <c r="F117" s="237"/>
    </row>
    <row r="118" spans="1:6" ht="12" customHeight="1" x14ac:dyDescent="0.25">
      <c r="A118" s="14" t="s">
        <v>123</v>
      </c>
      <c r="B118" s="11" t="s">
        <v>380</v>
      </c>
      <c r="C118" s="546">
        <f t="shared" si="2"/>
        <v>0</v>
      </c>
      <c r="D118" s="217"/>
      <c r="E118" s="423"/>
      <c r="F118" s="411"/>
    </row>
    <row r="119" spans="1:6" ht="12" customHeight="1" x14ac:dyDescent="0.25">
      <c r="A119" s="14" t="s">
        <v>124</v>
      </c>
      <c r="B119" s="230" t="s">
        <v>238</v>
      </c>
      <c r="C119" s="546">
        <f t="shared" si="2"/>
        <v>0</v>
      </c>
      <c r="D119" s="416"/>
      <c r="E119" s="411"/>
      <c r="F119" s="411"/>
    </row>
    <row r="120" spans="1:6" ht="12" customHeight="1" x14ac:dyDescent="0.25">
      <c r="A120" s="14" t="s">
        <v>133</v>
      </c>
      <c r="B120" s="229" t="s">
        <v>442</v>
      </c>
      <c r="C120" s="546">
        <f t="shared" si="2"/>
        <v>0</v>
      </c>
      <c r="D120" s="416"/>
      <c r="E120" s="217"/>
      <c r="F120" s="217"/>
    </row>
    <row r="121" spans="1:6" ht="12" customHeight="1" x14ac:dyDescent="0.25">
      <c r="A121" s="14" t="s">
        <v>135</v>
      </c>
      <c r="B121" s="315" t="s">
        <v>385</v>
      </c>
      <c r="C121" s="546">
        <f t="shared" si="2"/>
        <v>0</v>
      </c>
      <c r="D121" s="416"/>
      <c r="E121" s="217"/>
      <c r="F121" s="217"/>
    </row>
    <row r="122" spans="1:6" x14ac:dyDescent="0.25">
      <c r="A122" s="14" t="s">
        <v>195</v>
      </c>
      <c r="B122" s="107" t="s">
        <v>368</v>
      </c>
      <c r="C122" s="546">
        <f t="shared" si="2"/>
        <v>0</v>
      </c>
      <c r="D122" s="416"/>
      <c r="E122" s="217"/>
      <c r="F122" s="217"/>
    </row>
    <row r="123" spans="1:6" ht="12" customHeight="1" x14ac:dyDescent="0.25">
      <c r="A123" s="14" t="s">
        <v>196</v>
      </c>
      <c r="B123" s="107" t="s">
        <v>384</v>
      </c>
      <c r="C123" s="546">
        <f t="shared" si="2"/>
        <v>0</v>
      </c>
      <c r="D123" s="416"/>
      <c r="E123" s="217"/>
      <c r="F123" s="217"/>
    </row>
    <row r="124" spans="1:6" ht="12" customHeight="1" x14ac:dyDescent="0.25">
      <c r="A124" s="14" t="s">
        <v>197</v>
      </c>
      <c r="B124" s="107" t="s">
        <v>383</v>
      </c>
      <c r="C124" s="546">
        <f t="shared" si="2"/>
        <v>0</v>
      </c>
      <c r="D124" s="416"/>
      <c r="E124" s="217"/>
      <c r="F124" s="217"/>
    </row>
    <row r="125" spans="1:6" ht="12" customHeight="1" x14ac:dyDescent="0.25">
      <c r="A125" s="14" t="s">
        <v>376</v>
      </c>
      <c r="B125" s="107" t="s">
        <v>371</v>
      </c>
      <c r="C125" s="546">
        <f t="shared" si="2"/>
        <v>0</v>
      </c>
      <c r="D125" s="416"/>
      <c r="E125" s="217"/>
      <c r="F125" s="217"/>
    </row>
    <row r="126" spans="1:6" ht="12" customHeight="1" x14ac:dyDescent="0.25">
      <c r="A126" s="14" t="s">
        <v>377</v>
      </c>
      <c r="B126" s="107" t="s">
        <v>382</v>
      </c>
      <c r="C126" s="546">
        <f t="shared" si="2"/>
        <v>0</v>
      </c>
      <c r="D126" s="416"/>
      <c r="E126" s="217"/>
      <c r="F126" s="217"/>
    </row>
    <row r="127" spans="1:6" ht="16.5" thickBot="1" x14ac:dyDescent="0.3">
      <c r="A127" s="12" t="s">
        <v>378</v>
      </c>
      <c r="B127" s="107" t="s">
        <v>381</v>
      </c>
      <c r="C127" s="547">
        <f t="shared" si="2"/>
        <v>0</v>
      </c>
      <c r="D127" s="417"/>
      <c r="E127" s="415"/>
      <c r="F127" s="415"/>
    </row>
    <row r="128" spans="1:6" ht="12" customHeight="1" thickBot="1" x14ac:dyDescent="0.3">
      <c r="A128" s="19" t="s">
        <v>33</v>
      </c>
      <c r="B128" s="98" t="s">
        <v>573</v>
      </c>
      <c r="C128" s="238">
        <f t="shared" si="2"/>
        <v>696218887</v>
      </c>
      <c r="D128" s="443">
        <f>+D93+D114</f>
        <v>108190753</v>
      </c>
      <c r="E128" s="233">
        <f>+E93+E114</f>
        <v>7067754</v>
      </c>
      <c r="F128" s="233">
        <f>+F93+F114</f>
        <v>580960380</v>
      </c>
    </row>
    <row r="129" spans="1:6" ht="12" customHeight="1" thickBot="1" x14ac:dyDescent="0.3">
      <c r="A129" s="19" t="s">
        <v>34</v>
      </c>
      <c r="B129" s="98" t="s">
        <v>574</v>
      </c>
      <c r="C129" s="238">
        <f t="shared" si="2"/>
        <v>4444000</v>
      </c>
      <c r="D129" s="443">
        <f>+D130+D131+D132</f>
        <v>4444000</v>
      </c>
      <c r="E129" s="233">
        <f>+E130+E131+E132</f>
        <v>0</v>
      </c>
      <c r="F129" s="233">
        <f>+F130+F131+F132</f>
        <v>0</v>
      </c>
    </row>
    <row r="130" spans="1:6" ht="12" customHeight="1" x14ac:dyDescent="0.25">
      <c r="A130" s="14" t="s">
        <v>276</v>
      </c>
      <c r="B130" s="11" t="s">
        <v>575</v>
      </c>
      <c r="C130" s="545">
        <f t="shared" si="2"/>
        <v>4444000</v>
      </c>
      <c r="D130" s="411">
        <v>4444000</v>
      </c>
      <c r="E130" s="411"/>
      <c r="F130" s="411"/>
    </row>
    <row r="131" spans="1:6" ht="12" customHeight="1" x14ac:dyDescent="0.25">
      <c r="A131" s="14" t="s">
        <v>279</v>
      </c>
      <c r="B131" s="11" t="s">
        <v>576</v>
      </c>
      <c r="C131" s="546">
        <f t="shared" si="2"/>
        <v>0</v>
      </c>
      <c r="D131" s="217"/>
      <c r="E131" s="217"/>
      <c r="F131" s="217"/>
    </row>
    <row r="132" spans="1:6" ht="12" customHeight="1" thickBot="1" x14ac:dyDescent="0.3">
      <c r="A132" s="12" t="s">
        <v>280</v>
      </c>
      <c r="B132" s="11" t="s">
        <v>577</v>
      </c>
      <c r="C132" s="547">
        <f t="shared" si="2"/>
        <v>0</v>
      </c>
      <c r="D132" s="217"/>
      <c r="E132" s="217"/>
      <c r="F132" s="217"/>
    </row>
    <row r="133" spans="1:6" ht="12" customHeight="1" thickBot="1" x14ac:dyDescent="0.3">
      <c r="A133" s="19" t="s">
        <v>35</v>
      </c>
      <c r="B133" s="98" t="s">
        <v>578</v>
      </c>
      <c r="C133" s="412">
        <f t="shared" si="2"/>
        <v>0</v>
      </c>
      <c r="D133" s="443">
        <f>+D134+D135+D136+D137+D138+D139</f>
        <v>0</v>
      </c>
      <c r="E133" s="233">
        <f>+E134+E135+E136+E137+E138+E139</f>
        <v>0</v>
      </c>
      <c r="F133" s="233">
        <f>SUM(F134:F139)</f>
        <v>0</v>
      </c>
    </row>
    <row r="134" spans="1:6" ht="12" customHeight="1" x14ac:dyDescent="0.25">
      <c r="A134" s="14" t="s">
        <v>107</v>
      </c>
      <c r="B134" s="8" t="s">
        <v>579</v>
      </c>
      <c r="C134" s="545">
        <f t="shared" si="2"/>
        <v>0</v>
      </c>
      <c r="D134" s="217"/>
      <c r="E134" s="217"/>
      <c r="F134" s="217"/>
    </row>
    <row r="135" spans="1:6" ht="12" customHeight="1" x14ac:dyDescent="0.25">
      <c r="A135" s="14" t="s">
        <v>108</v>
      </c>
      <c r="B135" s="8" t="s">
        <v>580</v>
      </c>
      <c r="C135" s="546">
        <f t="shared" si="2"/>
        <v>0</v>
      </c>
      <c r="D135" s="217"/>
      <c r="E135" s="217"/>
      <c r="F135" s="217"/>
    </row>
    <row r="136" spans="1:6" ht="12" customHeight="1" x14ac:dyDescent="0.25">
      <c r="A136" s="14" t="s">
        <v>109</v>
      </c>
      <c r="B136" s="8" t="s">
        <v>581</v>
      </c>
      <c r="C136" s="546">
        <f t="shared" si="2"/>
        <v>0</v>
      </c>
      <c r="D136" s="217"/>
      <c r="E136" s="217"/>
      <c r="F136" s="217"/>
    </row>
    <row r="137" spans="1:6" ht="12" customHeight="1" x14ac:dyDescent="0.25">
      <c r="A137" s="14" t="s">
        <v>182</v>
      </c>
      <c r="B137" s="8" t="s">
        <v>582</v>
      </c>
      <c r="C137" s="546">
        <f t="shared" si="2"/>
        <v>0</v>
      </c>
      <c r="D137" s="217"/>
      <c r="E137" s="217"/>
      <c r="F137" s="217"/>
    </row>
    <row r="138" spans="1:6" ht="12" customHeight="1" x14ac:dyDescent="0.25">
      <c r="A138" s="14" t="s">
        <v>183</v>
      </c>
      <c r="B138" s="8" t="s">
        <v>583</v>
      </c>
      <c r="C138" s="546">
        <f t="shared" si="2"/>
        <v>0</v>
      </c>
      <c r="D138" s="217"/>
      <c r="E138" s="217"/>
      <c r="F138" s="217"/>
    </row>
    <row r="139" spans="1:6" ht="12" customHeight="1" thickBot="1" x14ac:dyDescent="0.3">
      <c r="A139" s="12" t="s">
        <v>184</v>
      </c>
      <c r="B139" s="8" t="s">
        <v>584</v>
      </c>
      <c r="C139" s="547">
        <f t="shared" si="2"/>
        <v>0</v>
      </c>
      <c r="D139" s="217"/>
      <c r="E139" s="217"/>
      <c r="F139" s="217"/>
    </row>
    <row r="140" spans="1:6" ht="12" customHeight="1" thickBot="1" x14ac:dyDescent="0.3">
      <c r="A140" s="19" t="s">
        <v>36</v>
      </c>
      <c r="B140" s="98" t="s">
        <v>585</v>
      </c>
      <c r="C140" s="238">
        <f t="shared" si="2"/>
        <v>0</v>
      </c>
      <c r="D140" s="448">
        <f>+D141+D142+D143+D144</f>
        <v>0</v>
      </c>
      <c r="E140" s="238">
        <f>+E141+E142+E143+E144</f>
        <v>0</v>
      </c>
      <c r="F140" s="238">
        <f>+F141+F142+F143+F144</f>
        <v>0</v>
      </c>
    </row>
    <row r="141" spans="1:6" ht="12" customHeight="1" x14ac:dyDescent="0.25">
      <c r="A141" s="14" t="s">
        <v>110</v>
      </c>
      <c r="B141" s="8" t="s">
        <v>386</v>
      </c>
      <c r="C141" s="545">
        <f t="shared" si="2"/>
        <v>0</v>
      </c>
      <c r="D141" s="217"/>
      <c r="E141" s="217"/>
      <c r="F141" s="217"/>
    </row>
    <row r="142" spans="1:6" ht="12" customHeight="1" x14ac:dyDescent="0.25">
      <c r="A142" s="14" t="s">
        <v>111</v>
      </c>
      <c r="B142" s="8" t="s">
        <v>387</v>
      </c>
      <c r="C142" s="546">
        <f t="shared" si="2"/>
        <v>0</v>
      </c>
      <c r="D142" s="217"/>
      <c r="E142" s="217"/>
      <c r="F142" s="217"/>
    </row>
    <row r="143" spans="1:6" ht="12" customHeight="1" x14ac:dyDescent="0.25">
      <c r="A143" s="14" t="s">
        <v>300</v>
      </c>
      <c r="B143" s="8" t="s">
        <v>586</v>
      </c>
      <c r="C143" s="546">
        <f t="shared" si="2"/>
        <v>0</v>
      </c>
      <c r="D143" s="217"/>
      <c r="E143" s="217"/>
      <c r="F143" s="217"/>
    </row>
    <row r="144" spans="1:6" ht="12" customHeight="1" thickBot="1" x14ac:dyDescent="0.3">
      <c r="A144" s="12" t="s">
        <v>301</v>
      </c>
      <c r="B144" s="6" t="s">
        <v>405</v>
      </c>
      <c r="C144" s="547">
        <f t="shared" si="2"/>
        <v>0</v>
      </c>
      <c r="D144" s="217"/>
      <c r="E144" s="217"/>
      <c r="F144" s="217"/>
    </row>
    <row r="145" spans="1:9" ht="12" customHeight="1" thickBot="1" x14ac:dyDescent="0.3">
      <c r="A145" s="19" t="s">
        <v>37</v>
      </c>
      <c r="B145" s="98" t="s">
        <v>587</v>
      </c>
      <c r="C145" s="238">
        <f t="shared" si="2"/>
        <v>0</v>
      </c>
      <c r="D145" s="459">
        <f>+D146+D147+D148+D149+D150</f>
        <v>0</v>
      </c>
      <c r="E145" s="241">
        <f>+E146+E147+E148+E149+E150</f>
        <v>0</v>
      </c>
      <c r="F145" s="241">
        <f>SUM(F146:F150)</f>
        <v>0</v>
      </c>
    </row>
    <row r="146" spans="1:9" ht="12" customHeight="1" x14ac:dyDescent="0.25">
      <c r="A146" s="14" t="s">
        <v>112</v>
      </c>
      <c r="B146" s="8" t="s">
        <v>588</v>
      </c>
      <c r="C146" s="545">
        <f t="shared" si="2"/>
        <v>0</v>
      </c>
      <c r="D146" s="217"/>
      <c r="E146" s="217"/>
      <c r="F146" s="217"/>
    </row>
    <row r="147" spans="1:9" ht="12" customHeight="1" x14ac:dyDescent="0.25">
      <c r="A147" s="14" t="s">
        <v>113</v>
      </c>
      <c r="B147" s="8" t="s">
        <v>589</v>
      </c>
      <c r="C147" s="546">
        <f t="shared" si="2"/>
        <v>0</v>
      </c>
      <c r="D147" s="217"/>
      <c r="E147" s="217"/>
      <c r="F147" s="217"/>
    </row>
    <row r="148" spans="1:9" ht="12" customHeight="1" x14ac:dyDescent="0.25">
      <c r="A148" s="14" t="s">
        <v>312</v>
      </c>
      <c r="B148" s="8" t="s">
        <v>590</v>
      </c>
      <c r="C148" s="546">
        <f t="shared" si="2"/>
        <v>0</v>
      </c>
      <c r="D148" s="217"/>
      <c r="E148" s="217"/>
      <c r="F148" s="217"/>
    </row>
    <row r="149" spans="1:9" ht="12" customHeight="1" x14ac:dyDescent="0.25">
      <c r="A149" s="14" t="s">
        <v>313</v>
      </c>
      <c r="B149" s="8" t="s">
        <v>591</v>
      </c>
      <c r="C149" s="546">
        <f t="shared" si="2"/>
        <v>0</v>
      </c>
      <c r="D149" s="217"/>
      <c r="E149" s="217"/>
      <c r="F149" s="217"/>
    </row>
    <row r="150" spans="1:9" ht="12" customHeight="1" thickBot="1" x14ac:dyDescent="0.3">
      <c r="A150" s="14" t="s">
        <v>592</v>
      </c>
      <c r="B150" s="8" t="s">
        <v>593</v>
      </c>
      <c r="C150" s="547">
        <f t="shared" si="2"/>
        <v>0</v>
      </c>
      <c r="D150" s="218"/>
      <c r="E150" s="218"/>
      <c r="F150" s="217"/>
    </row>
    <row r="151" spans="1:9" ht="12" customHeight="1" thickBot="1" x14ac:dyDescent="0.3">
      <c r="A151" s="19" t="s">
        <v>38</v>
      </c>
      <c r="B151" s="98" t="s">
        <v>594</v>
      </c>
      <c r="C151" s="233">
        <f t="shared" si="2"/>
        <v>0</v>
      </c>
      <c r="D151" s="459"/>
      <c r="E151" s="241"/>
      <c r="F151" s="400"/>
    </row>
    <row r="152" spans="1:9" ht="12" customHeight="1" thickBot="1" x14ac:dyDescent="0.3">
      <c r="A152" s="19" t="s">
        <v>39</v>
      </c>
      <c r="B152" s="98" t="s">
        <v>595</v>
      </c>
      <c r="C152" s="233">
        <f t="shared" si="2"/>
        <v>0</v>
      </c>
      <c r="D152" s="459"/>
      <c r="E152" s="241"/>
      <c r="F152" s="400"/>
    </row>
    <row r="153" spans="1:9" ht="15" customHeight="1" thickBot="1" x14ac:dyDescent="0.3">
      <c r="A153" s="19" t="s">
        <v>40</v>
      </c>
      <c r="B153" s="98" t="s">
        <v>596</v>
      </c>
      <c r="C153" s="233">
        <f t="shared" si="2"/>
        <v>4444000</v>
      </c>
      <c r="D153" s="461">
        <f>+D129+D133+D140+D145+D151+D152</f>
        <v>4444000</v>
      </c>
      <c r="E153" s="329">
        <f>+E129+E133+E140+E145+E151+E152</f>
        <v>0</v>
      </c>
      <c r="F153" s="329">
        <f>+F129+F133+F140+F145+F151+F152</f>
        <v>0</v>
      </c>
      <c r="G153" s="330"/>
      <c r="H153" s="330"/>
      <c r="I153" s="330"/>
    </row>
    <row r="154" spans="1:9" s="318" customFormat="1" ht="12.95" customHeight="1" thickBot="1" x14ac:dyDescent="0.25">
      <c r="A154" s="231" t="s">
        <v>41</v>
      </c>
      <c r="B154" s="304" t="s">
        <v>597</v>
      </c>
      <c r="C154" s="233">
        <f t="shared" si="2"/>
        <v>700662887</v>
      </c>
      <c r="D154" s="461">
        <f>+D128+D153</f>
        <v>112634753</v>
      </c>
      <c r="E154" s="329">
        <f>+E128+E153</f>
        <v>7067754</v>
      </c>
      <c r="F154" s="329">
        <f>+F128+F153</f>
        <v>580960380</v>
      </c>
    </row>
    <row r="155" spans="1:9" ht="7.5" customHeight="1" x14ac:dyDescent="0.25"/>
    <row r="156" spans="1:9" x14ac:dyDescent="0.25">
      <c r="A156" s="1173" t="s">
        <v>388</v>
      </c>
      <c r="B156" s="1173"/>
      <c r="C156" s="1173"/>
    </row>
    <row r="157" spans="1:9" ht="15" customHeight="1" thickBot="1" x14ac:dyDescent="0.3">
      <c r="A157" s="1170" t="s">
        <v>163</v>
      </c>
      <c r="B157" s="1170"/>
      <c r="C157" s="242" t="s">
        <v>688</v>
      </c>
    </row>
    <row r="158" spans="1:9" ht="13.5" customHeight="1" thickBot="1" x14ac:dyDescent="0.3">
      <c r="A158" s="19">
        <v>1</v>
      </c>
      <c r="B158" s="24" t="s">
        <v>598</v>
      </c>
      <c r="C158" s="233">
        <f>+C62-C128</f>
        <v>-154163043</v>
      </c>
    </row>
    <row r="159" spans="1:9" ht="27.75" customHeight="1" thickBot="1" x14ac:dyDescent="0.3">
      <c r="A159" s="19" t="s">
        <v>32</v>
      </c>
      <c r="B159" s="24" t="s">
        <v>599</v>
      </c>
      <c r="C159" s="233">
        <f>+C86-C153</f>
        <v>13582960</v>
      </c>
    </row>
    <row r="162" spans="4:4" x14ac:dyDescent="0.25">
      <c r="D162" s="330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1.3. melléklet a ../.....(......)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4.5" customHeight="1" x14ac:dyDescent="0.2">
      <c r="A2" s="309" t="s">
        <v>210</v>
      </c>
      <c r="B2" s="282" t="s">
        <v>645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172674012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30591480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82270000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865">
        <v>19857978</v>
      </c>
    </row>
    <row r="14" spans="1:3" s="298" customFormat="1" ht="12" customHeight="1" x14ac:dyDescent="0.2">
      <c r="A14" s="347" t="s">
        <v>118</v>
      </c>
      <c r="B14" s="7" t="s">
        <v>414</v>
      </c>
      <c r="C14" s="865">
        <v>27304554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12650000</v>
      </c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172674012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135013230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1426020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133587210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307687242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306458242</v>
      </c>
    </row>
    <row r="46" spans="1:3" ht="12" customHeight="1" x14ac:dyDescent="0.2">
      <c r="A46" s="347" t="s">
        <v>114</v>
      </c>
      <c r="B46" s="8" t="s">
        <v>62</v>
      </c>
      <c r="C46" s="869">
        <v>61703726</v>
      </c>
    </row>
    <row r="47" spans="1:3" ht="12" customHeight="1" x14ac:dyDescent="0.2">
      <c r="A47" s="347" t="s">
        <v>115</v>
      </c>
      <c r="B47" s="7" t="s">
        <v>190</v>
      </c>
      <c r="C47" s="1013">
        <v>14089304</v>
      </c>
    </row>
    <row r="48" spans="1:3" ht="12" customHeight="1" x14ac:dyDescent="0.2">
      <c r="A48" s="347" t="s">
        <v>116</v>
      </c>
      <c r="B48" s="7" t="s">
        <v>151</v>
      </c>
      <c r="C48" s="1013">
        <v>230665212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1229000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1229000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307687242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1">
        <v>25.5</v>
      </c>
    </row>
    <row r="60" spans="1:3" ht="13.5" thickBot="1" x14ac:dyDescent="0.25">
      <c r="A60" s="197" t="s">
        <v>212</v>
      </c>
      <c r="B60" s="198"/>
      <c r="C60" s="8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&amp;R9.5.1. melléklet a ../......(......)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19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351"/>
    </row>
    <row r="2" spans="1:3" s="352" customFormat="1" ht="33.75" customHeight="1" x14ac:dyDescent="0.2">
      <c r="A2" s="309" t="s">
        <v>210</v>
      </c>
      <c r="B2" s="282" t="s">
        <v>645</v>
      </c>
      <c r="C2" s="296" t="s">
        <v>75</v>
      </c>
    </row>
    <row r="3" spans="1:3" s="352" customFormat="1" ht="24.75" thickBot="1" x14ac:dyDescent="0.25">
      <c r="A3" s="345" t="s">
        <v>209</v>
      </c>
      <c r="B3" s="283" t="s">
        <v>432</v>
      </c>
      <c r="C3" s="297" t="s">
        <v>75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245"/>
    </row>
    <row r="11" spans="1:3" s="298" customFormat="1" ht="12" customHeight="1" x14ac:dyDescent="0.2">
      <c r="A11" s="347" t="s">
        <v>116</v>
      </c>
      <c r="B11" s="7" t="s">
        <v>291</v>
      </c>
      <c r="C11" s="245"/>
    </row>
    <row r="12" spans="1:3" s="298" customFormat="1" ht="12" customHeight="1" x14ac:dyDescent="0.2">
      <c r="A12" s="347" t="s">
        <v>117</v>
      </c>
      <c r="B12" s="7" t="s">
        <v>292</v>
      </c>
      <c r="C12" s="245"/>
    </row>
    <row r="13" spans="1:3" s="298" customFormat="1" ht="12" customHeight="1" x14ac:dyDescent="0.2">
      <c r="A13" s="347" t="s">
        <v>158</v>
      </c>
      <c r="B13" s="7" t="s">
        <v>293</v>
      </c>
      <c r="C13" s="245"/>
    </row>
    <row r="14" spans="1:3" s="298" customFormat="1" ht="12" customHeight="1" x14ac:dyDescent="0.2">
      <c r="A14" s="347" t="s">
        <v>118</v>
      </c>
      <c r="B14" s="7" t="s">
        <v>414</v>
      </c>
      <c r="C14" s="245"/>
    </row>
    <row r="15" spans="1:3" s="298" customFormat="1" ht="12" customHeight="1" x14ac:dyDescent="0.2">
      <c r="A15" s="347" t="s">
        <v>119</v>
      </c>
      <c r="B15" s="6" t="s">
        <v>415</v>
      </c>
      <c r="C15" s="245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/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245"/>
    </row>
    <row r="24" spans="1:3" s="355" customFormat="1" ht="12" customHeight="1" thickBot="1" x14ac:dyDescent="0.25">
      <c r="A24" s="347" t="s">
        <v>123</v>
      </c>
      <c r="B24" s="7" t="s">
        <v>641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642</v>
      </c>
      <c r="C26" s="247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57"/>
    </row>
    <row r="28" spans="1:3" s="355" customFormat="1" ht="12" customHeight="1" x14ac:dyDescent="0.2">
      <c r="A28" s="348" t="s">
        <v>279</v>
      </c>
      <c r="B28" s="350" t="s">
        <v>419</v>
      </c>
      <c r="C28" s="248"/>
    </row>
    <row r="29" spans="1:3" s="355" customFormat="1" ht="12" customHeight="1" thickBot="1" x14ac:dyDescent="0.25">
      <c r="A29" s="347" t="s">
        <v>280</v>
      </c>
      <c r="B29" s="105" t="s">
        <v>643</v>
      </c>
      <c r="C29" s="64"/>
    </row>
    <row r="30" spans="1:3" s="355" customFormat="1" ht="12" customHeight="1" thickBot="1" x14ac:dyDescent="0.25">
      <c r="A30" s="152" t="s">
        <v>35</v>
      </c>
      <c r="B30" s="98" t="s">
        <v>420</v>
      </c>
      <c r="C30" s="247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57"/>
    </row>
    <row r="32" spans="1:3" s="355" customFormat="1" ht="12" customHeight="1" x14ac:dyDescent="0.2">
      <c r="A32" s="348" t="s">
        <v>108</v>
      </c>
      <c r="B32" s="350" t="s">
        <v>304</v>
      </c>
      <c r="C32" s="248"/>
    </row>
    <row r="33" spans="1:3" s="355" customFormat="1" ht="12" customHeight="1" thickBot="1" x14ac:dyDescent="0.25">
      <c r="A33" s="347" t="s">
        <v>109</v>
      </c>
      <c r="B33" s="105" t="s">
        <v>305</v>
      </c>
      <c r="C33" s="64"/>
    </row>
    <row r="34" spans="1:3" s="298" customFormat="1" ht="12" customHeight="1" thickBot="1" x14ac:dyDescent="0.25">
      <c r="A34" s="152" t="s">
        <v>36</v>
      </c>
      <c r="B34" s="98" t="s">
        <v>391</v>
      </c>
      <c r="C34" s="272"/>
    </row>
    <row r="35" spans="1:3" s="298" customFormat="1" ht="12" customHeight="1" thickBot="1" x14ac:dyDescent="0.25">
      <c r="A35" s="152" t="s">
        <v>37</v>
      </c>
      <c r="B35" s="98" t="s">
        <v>421</v>
      </c>
      <c r="C35" s="289"/>
    </row>
    <row r="36" spans="1:3" s="298" customFormat="1" ht="12" customHeight="1" thickBot="1" x14ac:dyDescent="0.25">
      <c r="A36" s="145" t="s">
        <v>38</v>
      </c>
      <c r="B36" s="98" t="s">
        <v>644</v>
      </c>
      <c r="C36" s="290">
        <f>+C8+C20+C25+C26+C30+C34+C35</f>
        <v>0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290">
        <f>+C38+C39+C40</f>
        <v>0</v>
      </c>
    </row>
    <row r="38" spans="1:3" s="298" customFormat="1" ht="12" customHeight="1" x14ac:dyDescent="0.2">
      <c r="A38" s="348" t="s">
        <v>424</v>
      </c>
      <c r="B38" s="349" t="s">
        <v>245</v>
      </c>
      <c r="C38" s="57"/>
    </row>
    <row r="39" spans="1:3" s="298" customFormat="1" ht="12" customHeight="1" x14ac:dyDescent="0.2">
      <c r="A39" s="348" t="s">
        <v>425</v>
      </c>
      <c r="B39" s="350" t="s">
        <v>15</v>
      </c>
      <c r="C39" s="248"/>
    </row>
    <row r="40" spans="1:3" s="355" customFormat="1" ht="12" customHeight="1" thickBot="1" x14ac:dyDescent="0.25">
      <c r="A40" s="347" t="s">
        <v>426</v>
      </c>
      <c r="B40" s="105" t="s">
        <v>427</v>
      </c>
      <c r="C40" s="563"/>
    </row>
    <row r="41" spans="1:3" s="355" customFormat="1" ht="15" customHeight="1" thickBot="1" x14ac:dyDescent="0.25">
      <c r="A41" s="186" t="s">
        <v>40</v>
      </c>
      <c r="B41" s="187" t="s">
        <v>428</v>
      </c>
      <c r="C41" s="293">
        <f>+C36+C37</f>
        <v>0</v>
      </c>
    </row>
    <row r="42" spans="1:3" s="355" customFormat="1" ht="15" customHeight="1" x14ac:dyDescent="0.2">
      <c r="A42" s="188"/>
      <c r="B42" s="189"/>
      <c r="C42" s="291"/>
    </row>
    <row r="43" spans="1:3" ht="13.5" thickBot="1" x14ac:dyDescent="0.25">
      <c r="A43" s="190"/>
      <c r="B43" s="191"/>
      <c r="C43" s="292"/>
    </row>
    <row r="44" spans="1:3" s="354" customFormat="1" ht="16.5" customHeight="1" thickBot="1" x14ac:dyDescent="0.25">
      <c r="A44" s="192"/>
      <c r="B44" s="193" t="s">
        <v>71</v>
      </c>
      <c r="C44" s="293"/>
    </row>
    <row r="45" spans="1:3" s="356" customFormat="1" ht="12" customHeight="1" thickBot="1" x14ac:dyDescent="0.25">
      <c r="A45" s="152" t="s">
        <v>31</v>
      </c>
      <c r="B45" s="98" t="s">
        <v>429</v>
      </c>
      <c r="C45" s="247">
        <f>SUM(C46:C50)</f>
        <v>0</v>
      </c>
    </row>
    <row r="46" spans="1:3" ht="12" customHeight="1" x14ac:dyDescent="0.2">
      <c r="A46" s="347" t="s">
        <v>114</v>
      </c>
      <c r="B46" s="8" t="s">
        <v>62</v>
      </c>
      <c r="C46" s="57"/>
    </row>
    <row r="47" spans="1:3" ht="12" customHeight="1" x14ac:dyDescent="0.2">
      <c r="A47" s="347" t="s">
        <v>115</v>
      </c>
      <c r="B47" s="7" t="s">
        <v>190</v>
      </c>
      <c r="C47" s="60"/>
    </row>
    <row r="48" spans="1:3" ht="12" customHeight="1" x14ac:dyDescent="0.2">
      <c r="A48" s="347" t="s">
        <v>116</v>
      </c>
      <c r="B48" s="7" t="s">
        <v>151</v>
      </c>
      <c r="C48" s="564"/>
    </row>
    <row r="49" spans="1:3" ht="12" customHeight="1" x14ac:dyDescent="0.2">
      <c r="A49" s="347" t="s">
        <v>117</v>
      </c>
      <c r="B49" s="7" t="s">
        <v>191</v>
      </c>
      <c r="C49" s="60"/>
    </row>
    <row r="50" spans="1:3" ht="12" customHeight="1" thickBot="1" x14ac:dyDescent="0.25">
      <c r="A50" s="347" t="s">
        <v>158</v>
      </c>
      <c r="B50" s="7" t="s">
        <v>192</v>
      </c>
      <c r="C50" s="60"/>
    </row>
    <row r="51" spans="1:3" ht="12" customHeight="1" thickBot="1" x14ac:dyDescent="0.25">
      <c r="A51" s="152" t="s">
        <v>32</v>
      </c>
      <c r="B51" s="98" t="s">
        <v>430</v>
      </c>
      <c r="C51" s="247">
        <f>SUM(C52:C54)</f>
        <v>0</v>
      </c>
    </row>
    <row r="52" spans="1:3" s="356" customFormat="1" ht="12" customHeight="1" x14ac:dyDescent="0.2">
      <c r="A52" s="347" t="s">
        <v>120</v>
      </c>
      <c r="B52" s="8" t="s">
        <v>236</v>
      </c>
      <c r="C52" s="57"/>
    </row>
    <row r="53" spans="1:3" ht="12" customHeight="1" x14ac:dyDescent="0.2">
      <c r="A53" s="347" t="s">
        <v>121</v>
      </c>
      <c r="B53" s="7" t="s">
        <v>194</v>
      </c>
      <c r="C53" s="60"/>
    </row>
    <row r="54" spans="1:3" ht="12" customHeight="1" x14ac:dyDescent="0.2">
      <c r="A54" s="347" t="s">
        <v>122</v>
      </c>
      <c r="B54" s="7" t="s">
        <v>72</v>
      </c>
      <c r="C54" s="60"/>
    </row>
    <row r="55" spans="1:3" ht="12" customHeight="1" thickBot="1" x14ac:dyDescent="0.25">
      <c r="A55" s="347" t="s">
        <v>123</v>
      </c>
      <c r="B55" s="7" t="s">
        <v>632</v>
      </c>
      <c r="C55" s="60"/>
    </row>
    <row r="56" spans="1:3" ht="15" customHeight="1" thickBot="1" x14ac:dyDescent="0.25">
      <c r="A56" s="152" t="s">
        <v>33</v>
      </c>
      <c r="B56" s="98" t="s">
        <v>25</v>
      </c>
      <c r="C56" s="272"/>
    </row>
    <row r="57" spans="1:3" ht="13.5" thickBot="1" x14ac:dyDescent="0.25">
      <c r="A57" s="152" t="s">
        <v>34</v>
      </c>
      <c r="B57" s="194" t="s">
        <v>633</v>
      </c>
      <c r="C57" s="294">
        <f>+C45+C51+C56</f>
        <v>0</v>
      </c>
    </row>
    <row r="58" spans="1:3" ht="15" customHeight="1" thickBot="1" x14ac:dyDescent="0.25">
      <c r="C58" s="295"/>
    </row>
    <row r="59" spans="1:3" ht="14.25" customHeight="1" thickBot="1" x14ac:dyDescent="0.25">
      <c r="A59" s="197" t="s">
        <v>625</v>
      </c>
      <c r="B59" s="198"/>
      <c r="C59" s="409"/>
    </row>
    <row r="60" spans="1:3" ht="13.5" thickBot="1" x14ac:dyDescent="0.25">
      <c r="A60" s="197" t="s">
        <v>212</v>
      </c>
      <c r="B60" s="198"/>
      <c r="C60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&amp;R9.5.2. melléklet a ../.....(.......)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30" workbookViewId="0">
      <selection activeCell="B67" sqref="B67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3.75" customHeight="1" x14ac:dyDescent="0.2">
      <c r="A2" s="309" t="s">
        <v>210</v>
      </c>
      <c r="B2" s="282" t="s">
        <v>669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184566273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10239158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12700000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>
        <v>157919035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3708080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19512535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>
        <v>19512535</v>
      </c>
    </row>
    <row r="24" spans="1:3" s="355" customFormat="1" ht="12" customHeight="1" thickBot="1" x14ac:dyDescent="0.25">
      <c r="A24" s="347" t="s">
        <v>123</v>
      </c>
      <c r="B24" s="7" t="s">
        <v>641</v>
      </c>
      <c r="C24" s="732">
        <v>399535</v>
      </c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204078808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518586592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20415305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498171287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722665400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709966782</v>
      </c>
    </row>
    <row r="46" spans="1:3" ht="12" customHeight="1" x14ac:dyDescent="0.2">
      <c r="A46" s="347" t="s">
        <v>114</v>
      </c>
      <c r="B46" s="8" t="s">
        <v>62</v>
      </c>
      <c r="C46" s="736">
        <v>432587281</v>
      </c>
    </row>
    <row r="47" spans="1:3" ht="12" customHeight="1" x14ac:dyDescent="0.2">
      <c r="A47" s="347" t="s">
        <v>115</v>
      </c>
      <c r="B47" s="7" t="s">
        <v>190</v>
      </c>
      <c r="C47" s="865">
        <v>91161523</v>
      </c>
    </row>
    <row r="48" spans="1:3" ht="12" customHeight="1" x14ac:dyDescent="0.2">
      <c r="A48" s="347" t="s">
        <v>116</v>
      </c>
      <c r="B48" s="7" t="s">
        <v>151</v>
      </c>
      <c r="C48" s="865">
        <v>186217978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12698618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12698618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722665400</v>
      </c>
    </row>
    <row r="58" spans="1:3" ht="15" customHeight="1" thickBot="1" x14ac:dyDescent="0.25">
      <c r="C58" s="744"/>
    </row>
    <row r="59" spans="1:3" ht="14.25" customHeight="1" x14ac:dyDescent="0.2">
      <c r="A59" s="684" t="s">
        <v>625</v>
      </c>
      <c r="B59" s="685"/>
      <c r="C59" s="872">
        <v>141.19999999999999</v>
      </c>
    </row>
    <row r="60" spans="1:3" x14ac:dyDescent="0.2">
      <c r="A60" s="748" t="s">
        <v>850</v>
      </c>
      <c r="B60" s="749"/>
      <c r="C60" s="873">
        <v>61</v>
      </c>
    </row>
    <row r="61" spans="1:3" s="746" customFormat="1" ht="13.9" customHeight="1" thickBot="1" x14ac:dyDescent="0.25">
      <c r="A61" s="1217" t="s">
        <v>851</v>
      </c>
      <c r="B61" s="1218"/>
      <c r="C61" s="874">
        <v>2</v>
      </c>
    </row>
    <row r="62" spans="1:3" s="746" customFormat="1" ht="19.899999999999999" customHeight="1" thickBot="1" x14ac:dyDescent="0.25">
      <c r="A62" s="1217"/>
      <c r="B62" s="1218"/>
      <c r="C62" s="874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&amp;R9.6. melléklet a ../......(.......)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59" sqref="C59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5.25" customHeight="1" x14ac:dyDescent="0.2">
      <c r="A2" s="309" t="s">
        <v>210</v>
      </c>
      <c r="B2" s="282" t="s">
        <v>669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6699387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5275108</v>
      </c>
    </row>
    <row r="11" spans="1:3" s="298" customFormat="1" ht="12" customHeight="1" x14ac:dyDescent="0.2">
      <c r="A11" s="347" t="s">
        <v>116</v>
      </c>
      <c r="B11" s="7" t="s">
        <v>291</v>
      </c>
      <c r="C11" s="732"/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/>
    </row>
    <row r="14" spans="1:3" s="298" customFormat="1" ht="12" customHeight="1" x14ac:dyDescent="0.2">
      <c r="A14" s="347" t="s">
        <v>118</v>
      </c>
      <c r="B14" s="7" t="s">
        <v>414</v>
      </c>
      <c r="C14" s="732">
        <v>1424279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6699387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136063133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2388345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133674788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142762520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141794520</v>
      </c>
    </row>
    <row r="46" spans="1:3" ht="12" customHeight="1" x14ac:dyDescent="0.2">
      <c r="A46" s="347" t="s">
        <v>114</v>
      </c>
      <c r="B46" s="8" t="s">
        <v>62</v>
      </c>
      <c r="C46" s="736">
        <v>102376295</v>
      </c>
    </row>
    <row r="47" spans="1:3" ht="12" customHeight="1" x14ac:dyDescent="0.2">
      <c r="A47" s="347" t="s">
        <v>115</v>
      </c>
      <c r="B47" s="7" t="s">
        <v>190</v>
      </c>
      <c r="C47" s="865">
        <v>22455001</v>
      </c>
    </row>
    <row r="48" spans="1:3" ht="12" customHeight="1" x14ac:dyDescent="0.2">
      <c r="A48" s="347" t="s">
        <v>116</v>
      </c>
      <c r="B48" s="7" t="s">
        <v>151</v>
      </c>
      <c r="C48" s="865">
        <v>16963224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968000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968000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142762520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1">
        <v>35</v>
      </c>
    </row>
    <row r="60" spans="1:3" ht="13.5" thickBot="1" x14ac:dyDescent="0.25">
      <c r="A60" s="197" t="s">
        <v>212</v>
      </c>
      <c r="B60" s="198"/>
      <c r="C60" s="8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&amp;R9.6.1. melléklet a ../......(......) 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view="pageLayout" zoomScaleNormal="145" workbookViewId="0">
      <selection activeCell="B67" sqref="B67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4.5" customHeight="1" x14ac:dyDescent="0.2">
      <c r="A2" s="309" t="s">
        <v>210</v>
      </c>
      <c r="B2" s="282" t="s">
        <v>669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432</v>
      </c>
      <c r="C3" s="725" t="s">
        <v>75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177866886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4964050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12700000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>
        <v>157919035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2283801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19512535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>
        <v>19512535</v>
      </c>
    </row>
    <row r="24" spans="1:3" s="355" customFormat="1" ht="12" customHeight="1" thickBot="1" x14ac:dyDescent="0.25">
      <c r="A24" s="347" t="s">
        <v>123</v>
      </c>
      <c r="B24" s="7" t="s">
        <v>641</v>
      </c>
      <c r="C24" s="732">
        <v>399535</v>
      </c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197379421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382523459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18026960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364496499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579902880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568172262</v>
      </c>
    </row>
    <row r="46" spans="1:3" ht="12" customHeight="1" x14ac:dyDescent="0.2">
      <c r="A46" s="347" t="s">
        <v>114</v>
      </c>
      <c r="B46" s="8" t="s">
        <v>62</v>
      </c>
      <c r="C46" s="736">
        <v>330210986</v>
      </c>
    </row>
    <row r="47" spans="1:3" ht="12" customHeight="1" x14ac:dyDescent="0.2">
      <c r="A47" s="347" t="s">
        <v>115</v>
      </c>
      <c r="B47" s="7" t="s">
        <v>190</v>
      </c>
      <c r="C47" s="865">
        <v>68706522</v>
      </c>
    </row>
    <row r="48" spans="1:3" ht="12" customHeight="1" x14ac:dyDescent="0.2">
      <c r="A48" s="347" t="s">
        <v>116</v>
      </c>
      <c r="B48" s="7" t="s">
        <v>151</v>
      </c>
      <c r="C48" s="865">
        <v>169254754</v>
      </c>
    </row>
    <row r="49" spans="1:4" ht="12" customHeight="1" x14ac:dyDescent="0.2">
      <c r="A49" s="347" t="s">
        <v>117</v>
      </c>
      <c r="B49" s="7" t="s">
        <v>191</v>
      </c>
      <c r="C49" s="865"/>
    </row>
    <row r="50" spans="1:4" ht="12" customHeight="1" thickBot="1" x14ac:dyDescent="0.25">
      <c r="A50" s="347" t="s">
        <v>158</v>
      </c>
      <c r="B50" s="7" t="s">
        <v>192</v>
      </c>
      <c r="C50" s="865"/>
    </row>
    <row r="51" spans="1:4" ht="12" customHeight="1" thickBot="1" x14ac:dyDescent="0.25">
      <c r="A51" s="152" t="s">
        <v>32</v>
      </c>
      <c r="B51" s="98" t="s">
        <v>430</v>
      </c>
      <c r="C51" s="730">
        <f>SUM(C52:C54)</f>
        <v>11730618</v>
      </c>
    </row>
    <row r="52" spans="1:4" s="356" customFormat="1" ht="12" customHeight="1" x14ac:dyDescent="0.2">
      <c r="A52" s="347" t="s">
        <v>120</v>
      </c>
      <c r="B52" s="8" t="s">
        <v>236</v>
      </c>
      <c r="C52" s="736">
        <v>11730618</v>
      </c>
    </row>
    <row r="53" spans="1:4" ht="12" customHeight="1" x14ac:dyDescent="0.2">
      <c r="A53" s="347" t="s">
        <v>121</v>
      </c>
      <c r="B53" s="7" t="s">
        <v>194</v>
      </c>
      <c r="C53" s="865"/>
    </row>
    <row r="54" spans="1:4" ht="12" customHeight="1" x14ac:dyDescent="0.2">
      <c r="A54" s="347" t="s">
        <v>122</v>
      </c>
      <c r="B54" s="7" t="s">
        <v>72</v>
      </c>
      <c r="C54" s="865"/>
    </row>
    <row r="55" spans="1:4" ht="12" customHeight="1" thickBot="1" x14ac:dyDescent="0.25">
      <c r="A55" s="347" t="s">
        <v>123</v>
      </c>
      <c r="B55" s="7" t="s">
        <v>632</v>
      </c>
      <c r="C55" s="865"/>
    </row>
    <row r="56" spans="1:4" ht="15" customHeight="1" thickBot="1" x14ac:dyDescent="0.25">
      <c r="A56" s="152" t="s">
        <v>33</v>
      </c>
      <c r="B56" s="98" t="s">
        <v>25</v>
      </c>
      <c r="C56" s="735"/>
    </row>
    <row r="57" spans="1:4" ht="13.5" thickBot="1" x14ac:dyDescent="0.25">
      <c r="A57" s="152" t="s">
        <v>34</v>
      </c>
      <c r="B57" s="194" t="s">
        <v>633</v>
      </c>
      <c r="C57" s="730">
        <f>+C45+C51+C56</f>
        <v>579902880</v>
      </c>
    </row>
    <row r="58" spans="1:4" ht="15" customHeight="1" thickBot="1" x14ac:dyDescent="0.25">
      <c r="C58" s="744"/>
    </row>
    <row r="59" spans="1:4" ht="14.25" customHeight="1" thickBot="1" x14ac:dyDescent="0.25">
      <c r="A59" s="197" t="s">
        <v>625</v>
      </c>
      <c r="B59" s="198"/>
      <c r="C59" s="871">
        <v>106.2</v>
      </c>
    </row>
    <row r="60" spans="1:4" ht="13.5" thickBot="1" x14ac:dyDescent="0.25">
      <c r="A60" s="748" t="s">
        <v>850</v>
      </c>
      <c r="B60" s="749"/>
      <c r="C60" s="870">
        <v>61</v>
      </c>
    </row>
    <row r="61" spans="1:4" ht="13.5" thickBot="1" x14ac:dyDescent="0.25">
      <c r="A61" s="1217" t="s">
        <v>851</v>
      </c>
      <c r="B61" s="1218"/>
      <c r="C61" s="795">
        <v>2</v>
      </c>
      <c r="D61" s="686"/>
    </row>
    <row r="62" spans="1:4" ht="13.5" thickBot="1" x14ac:dyDescent="0.25">
      <c r="A62" s="1219"/>
      <c r="B62" s="1220"/>
      <c r="C62" s="795"/>
      <c r="D62" s="686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&amp;R9.6.2 melléklet a ../.....(......)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70" sqref="B70:B71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6" customHeight="1" x14ac:dyDescent="0.2">
      <c r="A2" s="309" t="s">
        <v>210</v>
      </c>
      <c r="B2" s="282" t="s">
        <v>646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850595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/>
    </row>
    <row r="11" spans="1:3" s="298" customFormat="1" ht="12" customHeight="1" x14ac:dyDescent="0.2">
      <c r="A11" s="347" t="s">
        <v>116</v>
      </c>
      <c r="B11" s="7" t="s">
        <v>291</v>
      </c>
      <c r="C11" s="732"/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>
        <v>669760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180835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850595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86745155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93639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86651516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87595750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85964940</v>
      </c>
    </row>
    <row r="46" spans="1:3" ht="12" customHeight="1" x14ac:dyDescent="0.2">
      <c r="A46" s="347" t="s">
        <v>114</v>
      </c>
      <c r="B46" s="8" t="s">
        <v>62</v>
      </c>
      <c r="C46" s="736">
        <v>58944411</v>
      </c>
    </row>
    <row r="47" spans="1:3" ht="12" customHeight="1" x14ac:dyDescent="0.2">
      <c r="A47" s="347" t="s">
        <v>115</v>
      </c>
      <c r="B47" s="7" t="s">
        <v>190</v>
      </c>
      <c r="C47" s="865">
        <v>11728198</v>
      </c>
    </row>
    <row r="48" spans="1:3" ht="12" customHeight="1" x14ac:dyDescent="0.2">
      <c r="A48" s="347" t="s">
        <v>116</v>
      </c>
      <c r="B48" s="7" t="s">
        <v>151</v>
      </c>
      <c r="C48" s="865">
        <v>15292331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1630810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1630810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87595750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0">
        <v>21</v>
      </c>
    </row>
    <row r="60" spans="1:3" ht="13.5" thickBot="1" x14ac:dyDescent="0.25">
      <c r="A60" s="197" t="s">
        <v>212</v>
      </c>
      <c r="B60" s="198"/>
      <c r="C60" s="8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&amp;R9.7. melléklet a ../......(.......)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6" customHeight="1" x14ac:dyDescent="0.2">
      <c r="A2" s="309" t="s">
        <v>210</v>
      </c>
      <c r="B2" s="282" t="s">
        <v>646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850595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/>
    </row>
    <row r="11" spans="1:3" s="298" customFormat="1" ht="12" customHeight="1" x14ac:dyDescent="0.2">
      <c r="A11" s="347" t="s">
        <v>116</v>
      </c>
      <c r="B11" s="7" t="s">
        <v>291</v>
      </c>
      <c r="C11" s="732"/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>
        <v>669760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180835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850595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86745155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93639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86651516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87595750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85964940</v>
      </c>
    </row>
    <row r="46" spans="1:3" ht="12" customHeight="1" x14ac:dyDescent="0.2">
      <c r="A46" s="347" t="s">
        <v>114</v>
      </c>
      <c r="B46" s="8" t="s">
        <v>62</v>
      </c>
      <c r="C46" s="736">
        <v>58944411</v>
      </c>
    </row>
    <row r="47" spans="1:3" ht="12" customHeight="1" x14ac:dyDescent="0.2">
      <c r="A47" s="347" t="s">
        <v>115</v>
      </c>
      <c r="B47" s="7" t="s">
        <v>190</v>
      </c>
      <c r="C47" s="865">
        <v>11728198</v>
      </c>
    </row>
    <row r="48" spans="1:3" ht="12" customHeight="1" x14ac:dyDescent="0.2">
      <c r="A48" s="347" t="s">
        <v>116</v>
      </c>
      <c r="B48" s="7" t="s">
        <v>151</v>
      </c>
      <c r="C48" s="865">
        <v>15292331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1630810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1630810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87595750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0">
        <v>21</v>
      </c>
    </row>
    <row r="60" spans="1:3" ht="13.5" thickBot="1" x14ac:dyDescent="0.25">
      <c r="A60" s="197" t="s">
        <v>212</v>
      </c>
      <c r="B60" s="198"/>
      <c r="C60" s="745"/>
    </row>
    <row r="61" spans="1:3" x14ac:dyDescent="0.2">
      <c r="C61" s="875"/>
    </row>
    <row r="62" spans="1:3" x14ac:dyDescent="0.2">
      <c r="C62" s="875"/>
    </row>
    <row r="63" spans="1:3" x14ac:dyDescent="0.2">
      <c r="C63" s="875"/>
    </row>
    <row r="64" spans="1:3" x14ac:dyDescent="0.2">
      <c r="C64" s="875"/>
    </row>
    <row r="65" spans="3:3" x14ac:dyDescent="0.2">
      <c r="C65" s="875"/>
    </row>
    <row r="66" spans="3:3" x14ac:dyDescent="0.2">
      <c r="C66" s="875"/>
    </row>
    <row r="67" spans="3:3" x14ac:dyDescent="0.2">
      <c r="C67" s="875"/>
    </row>
    <row r="68" spans="3:3" x14ac:dyDescent="0.2">
      <c r="C68" s="87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9.7.1. melléklet a../.....(......)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C60"/>
  <sheetViews>
    <sheetView view="pageLayout" zoomScaleNormal="100" workbookViewId="0">
      <selection activeCell="C8" sqref="C8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174"/>
      <c r="B1" s="176"/>
      <c r="C1" s="351" t="e">
        <f>+CONCATENATE("9.3.1. melléklet a ……/",LEFT(#REF!,4),". (….) önkormányzati rendelethez")</f>
        <v>#REF!</v>
      </c>
    </row>
    <row r="2" spans="1:3" ht="36" x14ac:dyDescent="0.2">
      <c r="A2" s="309" t="s">
        <v>210</v>
      </c>
      <c r="B2" s="282" t="s">
        <v>646</v>
      </c>
      <c r="C2" s="296" t="s">
        <v>75</v>
      </c>
    </row>
    <row r="3" spans="1:3" ht="24.75" thickBot="1" x14ac:dyDescent="0.25">
      <c r="A3" s="345" t="s">
        <v>209</v>
      </c>
      <c r="B3" s="283" t="s">
        <v>432</v>
      </c>
      <c r="C3" s="297" t="s">
        <v>74</v>
      </c>
    </row>
    <row r="4" spans="1:3" ht="14.25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ht="13.5" thickBot="1" x14ac:dyDescent="0.25">
      <c r="A6" s="145" t="s">
        <v>546</v>
      </c>
      <c r="B6" s="146" t="s">
        <v>547</v>
      </c>
      <c r="C6" s="147" t="s">
        <v>548</v>
      </c>
    </row>
    <row r="7" spans="1:3" ht="13.5" thickBot="1" x14ac:dyDescent="0.25">
      <c r="A7" s="182"/>
      <c r="B7" s="183" t="s">
        <v>70</v>
      </c>
      <c r="C7" s="184"/>
    </row>
    <row r="8" spans="1:3" ht="13.5" thickBot="1" x14ac:dyDescent="0.25">
      <c r="A8" s="145" t="s">
        <v>31</v>
      </c>
      <c r="B8" s="185" t="s">
        <v>628</v>
      </c>
      <c r="C8" s="247">
        <f>SUM(C9:C19)</f>
        <v>0</v>
      </c>
    </row>
    <row r="9" spans="1:3" x14ac:dyDescent="0.2">
      <c r="A9" s="346" t="s">
        <v>114</v>
      </c>
      <c r="B9" s="9" t="s">
        <v>289</v>
      </c>
      <c r="C9" s="287"/>
    </row>
    <row r="10" spans="1:3" x14ac:dyDescent="0.2">
      <c r="A10" s="347" t="s">
        <v>115</v>
      </c>
      <c r="B10" s="7" t="s">
        <v>290</v>
      </c>
      <c r="C10" s="245"/>
    </row>
    <row r="11" spans="1:3" x14ac:dyDescent="0.2">
      <c r="A11" s="347" t="s">
        <v>116</v>
      </c>
      <c r="B11" s="7" t="s">
        <v>291</v>
      </c>
      <c r="C11" s="245"/>
    </row>
    <row r="12" spans="1:3" x14ac:dyDescent="0.2">
      <c r="A12" s="347" t="s">
        <v>117</v>
      </c>
      <c r="B12" s="7" t="s">
        <v>292</v>
      </c>
      <c r="C12" s="245"/>
    </row>
    <row r="13" spans="1:3" x14ac:dyDescent="0.2">
      <c r="A13" s="347" t="s">
        <v>158</v>
      </c>
      <c r="B13" s="7" t="s">
        <v>293</v>
      </c>
      <c r="C13" s="245"/>
    </row>
    <row r="14" spans="1:3" x14ac:dyDescent="0.2">
      <c r="A14" s="347" t="s">
        <v>118</v>
      </c>
      <c r="B14" s="7" t="s">
        <v>414</v>
      </c>
      <c r="C14" s="245"/>
    </row>
    <row r="15" spans="1:3" x14ac:dyDescent="0.2">
      <c r="A15" s="347" t="s">
        <v>119</v>
      </c>
      <c r="B15" s="6" t="s">
        <v>415</v>
      </c>
      <c r="C15" s="245"/>
    </row>
    <row r="16" spans="1:3" x14ac:dyDescent="0.2">
      <c r="A16" s="347" t="s">
        <v>129</v>
      </c>
      <c r="B16" s="7" t="s">
        <v>296</v>
      </c>
      <c r="C16" s="288"/>
    </row>
    <row r="17" spans="1:3" x14ac:dyDescent="0.2">
      <c r="A17" s="347" t="s">
        <v>130</v>
      </c>
      <c r="B17" s="7" t="s">
        <v>297</v>
      </c>
      <c r="C17" s="245"/>
    </row>
    <row r="18" spans="1:3" x14ac:dyDescent="0.2">
      <c r="A18" s="347" t="s">
        <v>131</v>
      </c>
      <c r="B18" s="7" t="s">
        <v>555</v>
      </c>
      <c r="C18" s="246"/>
    </row>
    <row r="19" spans="1:3" ht="13.5" thickBot="1" x14ac:dyDescent="0.25">
      <c r="A19" s="347" t="s">
        <v>132</v>
      </c>
      <c r="B19" s="6" t="s">
        <v>298</v>
      </c>
      <c r="C19" s="246"/>
    </row>
    <row r="20" spans="1:3" ht="13.5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x14ac:dyDescent="0.2">
      <c r="A21" s="347" t="s">
        <v>120</v>
      </c>
      <c r="B21" s="8" t="s">
        <v>266</v>
      </c>
      <c r="C21" s="245"/>
    </row>
    <row r="22" spans="1:3" x14ac:dyDescent="0.2">
      <c r="A22" s="347" t="s">
        <v>121</v>
      </c>
      <c r="B22" s="7" t="s">
        <v>417</v>
      </c>
      <c r="C22" s="245"/>
    </row>
    <row r="23" spans="1:3" x14ac:dyDescent="0.2">
      <c r="A23" s="347" t="s">
        <v>122</v>
      </c>
      <c r="B23" s="7" t="s">
        <v>418</v>
      </c>
      <c r="C23" s="245"/>
    </row>
    <row r="24" spans="1:3" ht="13.5" thickBot="1" x14ac:dyDescent="0.25">
      <c r="A24" s="347" t="s">
        <v>123</v>
      </c>
      <c r="B24" s="7" t="s">
        <v>641</v>
      </c>
      <c r="C24" s="245"/>
    </row>
    <row r="25" spans="1:3" ht="13.5" thickBot="1" x14ac:dyDescent="0.25">
      <c r="A25" s="152" t="s">
        <v>33</v>
      </c>
      <c r="B25" s="98" t="s">
        <v>181</v>
      </c>
      <c r="C25" s="272"/>
    </row>
    <row r="26" spans="1:3" ht="13.5" thickBot="1" x14ac:dyDescent="0.25">
      <c r="A26" s="152" t="s">
        <v>34</v>
      </c>
      <c r="B26" s="98" t="s">
        <v>642</v>
      </c>
      <c r="C26" s="247">
        <f>+C27+C28</f>
        <v>0</v>
      </c>
    </row>
    <row r="27" spans="1:3" x14ac:dyDescent="0.2">
      <c r="A27" s="348" t="s">
        <v>276</v>
      </c>
      <c r="B27" s="349" t="s">
        <v>417</v>
      </c>
      <c r="C27" s="57"/>
    </row>
    <row r="28" spans="1:3" x14ac:dyDescent="0.2">
      <c r="A28" s="348" t="s">
        <v>279</v>
      </c>
      <c r="B28" s="350" t="s">
        <v>419</v>
      </c>
      <c r="C28" s="248"/>
    </row>
    <row r="29" spans="1:3" ht="13.5" thickBot="1" x14ac:dyDescent="0.25">
      <c r="A29" s="347" t="s">
        <v>280</v>
      </c>
      <c r="B29" s="105" t="s">
        <v>643</v>
      </c>
      <c r="C29" s="64"/>
    </row>
    <row r="30" spans="1:3" ht="13.5" thickBot="1" x14ac:dyDescent="0.25">
      <c r="A30" s="152" t="s">
        <v>35</v>
      </c>
      <c r="B30" s="98" t="s">
        <v>420</v>
      </c>
      <c r="C30" s="247">
        <f>+C31+C32+C33</f>
        <v>0</v>
      </c>
    </row>
    <row r="31" spans="1:3" x14ac:dyDescent="0.2">
      <c r="A31" s="348" t="s">
        <v>107</v>
      </c>
      <c r="B31" s="349" t="s">
        <v>303</v>
      </c>
      <c r="C31" s="57"/>
    </row>
    <row r="32" spans="1:3" x14ac:dyDescent="0.2">
      <c r="A32" s="348" t="s">
        <v>108</v>
      </c>
      <c r="B32" s="350" t="s">
        <v>304</v>
      </c>
      <c r="C32" s="248"/>
    </row>
    <row r="33" spans="1:3" ht="13.5" thickBot="1" x14ac:dyDescent="0.25">
      <c r="A33" s="347" t="s">
        <v>109</v>
      </c>
      <c r="B33" s="105" t="s">
        <v>305</v>
      </c>
      <c r="C33" s="64"/>
    </row>
    <row r="34" spans="1:3" ht="13.5" thickBot="1" x14ac:dyDescent="0.25">
      <c r="A34" s="152" t="s">
        <v>36</v>
      </c>
      <c r="B34" s="98" t="s">
        <v>391</v>
      </c>
      <c r="C34" s="272"/>
    </row>
    <row r="35" spans="1:3" ht="13.5" thickBot="1" x14ac:dyDescent="0.25">
      <c r="A35" s="152" t="s">
        <v>37</v>
      </c>
      <c r="B35" s="98" t="s">
        <v>421</v>
      </c>
      <c r="C35" s="289"/>
    </row>
    <row r="36" spans="1:3" ht="13.5" thickBot="1" x14ac:dyDescent="0.25">
      <c r="A36" s="145" t="s">
        <v>38</v>
      </c>
      <c r="B36" s="98" t="s">
        <v>644</v>
      </c>
      <c r="C36" s="290">
        <f>+C8+C20+C25+C26+C30+C34+C35</f>
        <v>0</v>
      </c>
    </row>
    <row r="37" spans="1:3" ht="13.5" thickBot="1" x14ac:dyDescent="0.25">
      <c r="A37" s="186" t="s">
        <v>39</v>
      </c>
      <c r="B37" s="98" t="s">
        <v>423</v>
      </c>
      <c r="C37" s="290">
        <f>+C38+C39+C40</f>
        <v>0</v>
      </c>
    </row>
    <row r="38" spans="1:3" x14ac:dyDescent="0.2">
      <c r="A38" s="348" t="s">
        <v>424</v>
      </c>
      <c r="B38" s="349" t="s">
        <v>245</v>
      </c>
      <c r="C38" s="57"/>
    </row>
    <row r="39" spans="1:3" x14ac:dyDescent="0.2">
      <c r="A39" s="348" t="s">
        <v>425</v>
      </c>
      <c r="B39" s="350" t="s">
        <v>15</v>
      </c>
      <c r="C39" s="248"/>
    </row>
    <row r="40" spans="1:3" ht="13.5" thickBot="1" x14ac:dyDescent="0.25">
      <c r="A40" s="347" t="s">
        <v>426</v>
      </c>
      <c r="B40" s="105" t="s">
        <v>427</v>
      </c>
      <c r="C40" s="64"/>
    </row>
    <row r="41" spans="1:3" ht="13.5" thickBot="1" x14ac:dyDescent="0.25">
      <c r="A41" s="186" t="s">
        <v>40</v>
      </c>
      <c r="B41" s="187" t="s">
        <v>428</v>
      </c>
      <c r="C41" s="293">
        <f>+C36+C37</f>
        <v>0</v>
      </c>
    </row>
    <row r="42" spans="1:3" x14ac:dyDescent="0.2">
      <c r="A42" s="188"/>
      <c r="B42" s="189"/>
      <c r="C42" s="291"/>
    </row>
    <row r="43" spans="1:3" ht="13.5" thickBot="1" x14ac:dyDescent="0.25">
      <c r="A43" s="190"/>
      <c r="B43" s="191"/>
      <c r="C43" s="292"/>
    </row>
    <row r="44" spans="1:3" ht="13.5" thickBot="1" x14ac:dyDescent="0.25">
      <c r="A44" s="192"/>
      <c r="B44" s="193" t="s">
        <v>71</v>
      </c>
      <c r="C44" s="293"/>
    </row>
    <row r="45" spans="1:3" ht="13.5" thickBot="1" x14ac:dyDescent="0.25">
      <c r="A45" s="152" t="s">
        <v>31</v>
      </c>
      <c r="B45" s="98" t="s">
        <v>429</v>
      </c>
      <c r="C45" s="247">
        <f>SUM(C46:C50)</f>
        <v>0</v>
      </c>
    </row>
    <row r="46" spans="1:3" x14ac:dyDescent="0.2">
      <c r="A46" s="347" t="s">
        <v>114</v>
      </c>
      <c r="B46" s="8" t="s">
        <v>62</v>
      </c>
      <c r="C46" s="57"/>
    </row>
    <row r="47" spans="1:3" x14ac:dyDescent="0.2">
      <c r="A47" s="347" t="s">
        <v>115</v>
      </c>
      <c r="B47" s="7" t="s">
        <v>190</v>
      </c>
      <c r="C47" s="60"/>
    </row>
    <row r="48" spans="1:3" x14ac:dyDescent="0.2">
      <c r="A48" s="347" t="s">
        <v>116</v>
      </c>
      <c r="B48" s="7" t="s">
        <v>151</v>
      </c>
      <c r="C48" s="60"/>
    </row>
    <row r="49" spans="1:3" x14ac:dyDescent="0.2">
      <c r="A49" s="347" t="s">
        <v>117</v>
      </c>
      <c r="B49" s="7" t="s">
        <v>191</v>
      </c>
      <c r="C49" s="60"/>
    </row>
    <row r="50" spans="1:3" ht="13.5" thickBot="1" x14ac:dyDescent="0.25">
      <c r="A50" s="347" t="s">
        <v>158</v>
      </c>
      <c r="B50" s="7" t="s">
        <v>192</v>
      </c>
      <c r="C50" s="60"/>
    </row>
    <row r="51" spans="1:3" ht="13.5" thickBot="1" x14ac:dyDescent="0.25">
      <c r="A51" s="152" t="s">
        <v>32</v>
      </c>
      <c r="B51" s="98" t="s">
        <v>430</v>
      </c>
      <c r="C51" s="247">
        <f>SUM(C52:C54)</f>
        <v>0</v>
      </c>
    </row>
    <row r="52" spans="1:3" x14ac:dyDescent="0.2">
      <c r="A52" s="347" t="s">
        <v>120</v>
      </c>
      <c r="B52" s="8" t="s">
        <v>236</v>
      </c>
      <c r="C52" s="57"/>
    </row>
    <row r="53" spans="1:3" x14ac:dyDescent="0.2">
      <c r="A53" s="347" t="s">
        <v>121</v>
      </c>
      <c r="B53" s="7" t="s">
        <v>194</v>
      </c>
      <c r="C53" s="60"/>
    </row>
    <row r="54" spans="1:3" x14ac:dyDescent="0.2">
      <c r="A54" s="347" t="s">
        <v>122</v>
      </c>
      <c r="B54" s="7" t="s">
        <v>72</v>
      </c>
      <c r="C54" s="60"/>
    </row>
    <row r="55" spans="1:3" ht="13.5" thickBot="1" x14ac:dyDescent="0.25">
      <c r="A55" s="347" t="s">
        <v>123</v>
      </c>
      <c r="B55" s="7" t="s">
        <v>632</v>
      </c>
      <c r="C55" s="60"/>
    </row>
    <row r="56" spans="1:3" ht="13.5" thickBot="1" x14ac:dyDescent="0.25">
      <c r="A56" s="152" t="s">
        <v>33</v>
      </c>
      <c r="B56" s="98" t="s">
        <v>25</v>
      </c>
      <c r="C56" s="272"/>
    </row>
    <row r="57" spans="1:3" ht="13.5" thickBot="1" x14ac:dyDescent="0.25">
      <c r="A57" s="152" t="s">
        <v>34</v>
      </c>
      <c r="B57" s="194" t="s">
        <v>633</v>
      </c>
      <c r="C57" s="294">
        <f>+C45+C51+C56</f>
        <v>0</v>
      </c>
    </row>
    <row r="58" spans="1:3" ht="13.5" thickBot="1" x14ac:dyDescent="0.25">
      <c r="A58" s="195"/>
      <c r="B58" s="196"/>
      <c r="C58" s="295"/>
    </row>
    <row r="59" spans="1:3" ht="13.5" thickBot="1" x14ac:dyDescent="0.25">
      <c r="A59" s="197" t="s">
        <v>625</v>
      </c>
      <c r="B59" s="198"/>
      <c r="C59" s="96"/>
    </row>
    <row r="60" spans="1:3" ht="13.5" thickBot="1" x14ac:dyDescent="0.25">
      <c r="A60" s="197" t="s">
        <v>212</v>
      </c>
      <c r="B60" s="198"/>
      <c r="C60" s="96"/>
    </row>
  </sheetData>
  <pageMargins left="0.78740157480314965" right="0.78740157480314965" top="0.98425196850393704" bottom="0.98425196850393704" header="0.51181102362204722" footer="0.51181102362204722"/>
  <pageSetup paperSize="9" scale="75" orientation="portrait" r:id="rId1"/>
  <headerFooter alignWithMargins="0">
    <oddHeader>&amp;R9.7.2 melléklet a ../.....(......)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Layout" zoomScaleNormal="100" workbookViewId="0">
      <selection activeCell="J3" sqref="J3"/>
    </sheetView>
  </sheetViews>
  <sheetFormatPr defaultColWidth="12.5" defaultRowHeight="12.75" x14ac:dyDescent="0.2"/>
  <cols>
    <col min="1" max="1" width="35.83203125" style="566" customWidth="1"/>
    <col min="2" max="2" width="12" style="566" customWidth="1"/>
    <col min="3" max="3" width="16" style="566" customWidth="1"/>
    <col min="4" max="4" width="15" style="566" customWidth="1"/>
    <col min="5" max="5" width="14" style="566" customWidth="1"/>
    <col min="6" max="6" width="13.6640625" style="566" customWidth="1"/>
    <col min="7" max="7" width="13.33203125" style="566" customWidth="1"/>
    <col min="8" max="9" width="12" style="566" customWidth="1"/>
    <col min="10" max="10" width="14.83203125" style="566" customWidth="1"/>
    <col min="11" max="11" width="12.6640625" style="566" bestFit="1" customWidth="1"/>
    <col min="12" max="256" width="12.5" style="566"/>
    <col min="257" max="257" width="34" style="566" bestFit="1" customWidth="1"/>
    <col min="258" max="258" width="13" style="566" bestFit="1" customWidth="1"/>
    <col min="259" max="260" width="14.83203125" style="566" bestFit="1" customWidth="1"/>
    <col min="261" max="261" width="13.1640625" style="566" customWidth="1"/>
    <col min="262" max="263" width="13" style="566" bestFit="1" customWidth="1"/>
    <col min="264" max="264" width="12.83203125" style="566" customWidth="1"/>
    <col min="265" max="265" width="11.83203125" style="566" bestFit="1" customWidth="1"/>
    <col min="266" max="266" width="14.83203125" style="566" bestFit="1" customWidth="1"/>
    <col min="267" max="512" width="12.5" style="566"/>
    <col min="513" max="513" width="34" style="566" bestFit="1" customWidth="1"/>
    <col min="514" max="514" width="13" style="566" bestFit="1" customWidth="1"/>
    <col min="515" max="516" width="14.83203125" style="566" bestFit="1" customWidth="1"/>
    <col min="517" max="517" width="13.1640625" style="566" customWidth="1"/>
    <col min="518" max="519" width="13" style="566" bestFit="1" customWidth="1"/>
    <col min="520" max="520" width="12.83203125" style="566" customWidth="1"/>
    <col min="521" max="521" width="11.83203125" style="566" bestFit="1" customWidth="1"/>
    <col min="522" max="522" width="14.83203125" style="566" bestFit="1" customWidth="1"/>
    <col min="523" max="768" width="12.5" style="566"/>
    <col min="769" max="769" width="34" style="566" bestFit="1" customWidth="1"/>
    <col min="770" max="770" width="13" style="566" bestFit="1" customWidth="1"/>
    <col min="771" max="772" width="14.83203125" style="566" bestFit="1" customWidth="1"/>
    <col min="773" max="773" width="13.1640625" style="566" customWidth="1"/>
    <col min="774" max="775" width="13" style="566" bestFit="1" customWidth="1"/>
    <col min="776" max="776" width="12.83203125" style="566" customWidth="1"/>
    <col min="777" max="777" width="11.83203125" style="566" bestFit="1" customWidth="1"/>
    <col min="778" max="778" width="14.83203125" style="566" bestFit="1" customWidth="1"/>
    <col min="779" max="1024" width="12.5" style="566"/>
    <col min="1025" max="1025" width="34" style="566" bestFit="1" customWidth="1"/>
    <col min="1026" max="1026" width="13" style="566" bestFit="1" customWidth="1"/>
    <col min="1027" max="1028" width="14.83203125" style="566" bestFit="1" customWidth="1"/>
    <col min="1029" max="1029" width="13.1640625" style="566" customWidth="1"/>
    <col min="1030" max="1031" width="13" style="566" bestFit="1" customWidth="1"/>
    <col min="1032" max="1032" width="12.83203125" style="566" customWidth="1"/>
    <col min="1033" max="1033" width="11.83203125" style="566" bestFit="1" customWidth="1"/>
    <col min="1034" max="1034" width="14.83203125" style="566" bestFit="1" customWidth="1"/>
    <col min="1035" max="1280" width="12.5" style="566"/>
    <col min="1281" max="1281" width="34" style="566" bestFit="1" customWidth="1"/>
    <col min="1282" max="1282" width="13" style="566" bestFit="1" customWidth="1"/>
    <col min="1283" max="1284" width="14.83203125" style="566" bestFit="1" customWidth="1"/>
    <col min="1285" max="1285" width="13.1640625" style="566" customWidth="1"/>
    <col min="1286" max="1287" width="13" style="566" bestFit="1" customWidth="1"/>
    <col min="1288" max="1288" width="12.83203125" style="566" customWidth="1"/>
    <col min="1289" max="1289" width="11.83203125" style="566" bestFit="1" customWidth="1"/>
    <col min="1290" max="1290" width="14.83203125" style="566" bestFit="1" customWidth="1"/>
    <col min="1291" max="1536" width="12.5" style="566"/>
    <col min="1537" max="1537" width="34" style="566" bestFit="1" customWidth="1"/>
    <col min="1538" max="1538" width="13" style="566" bestFit="1" customWidth="1"/>
    <col min="1539" max="1540" width="14.83203125" style="566" bestFit="1" customWidth="1"/>
    <col min="1541" max="1541" width="13.1640625" style="566" customWidth="1"/>
    <col min="1542" max="1543" width="13" style="566" bestFit="1" customWidth="1"/>
    <col min="1544" max="1544" width="12.83203125" style="566" customWidth="1"/>
    <col min="1545" max="1545" width="11.83203125" style="566" bestFit="1" customWidth="1"/>
    <col min="1546" max="1546" width="14.83203125" style="566" bestFit="1" customWidth="1"/>
    <col min="1547" max="1792" width="12.5" style="566"/>
    <col min="1793" max="1793" width="34" style="566" bestFit="1" customWidth="1"/>
    <col min="1794" max="1794" width="13" style="566" bestFit="1" customWidth="1"/>
    <col min="1795" max="1796" width="14.83203125" style="566" bestFit="1" customWidth="1"/>
    <col min="1797" max="1797" width="13.1640625" style="566" customWidth="1"/>
    <col min="1798" max="1799" width="13" style="566" bestFit="1" customWidth="1"/>
    <col min="1800" max="1800" width="12.83203125" style="566" customWidth="1"/>
    <col min="1801" max="1801" width="11.83203125" style="566" bestFit="1" customWidth="1"/>
    <col min="1802" max="1802" width="14.83203125" style="566" bestFit="1" customWidth="1"/>
    <col min="1803" max="2048" width="12.5" style="566"/>
    <col min="2049" max="2049" width="34" style="566" bestFit="1" customWidth="1"/>
    <col min="2050" max="2050" width="13" style="566" bestFit="1" customWidth="1"/>
    <col min="2051" max="2052" width="14.83203125" style="566" bestFit="1" customWidth="1"/>
    <col min="2053" max="2053" width="13.1640625" style="566" customWidth="1"/>
    <col min="2054" max="2055" width="13" style="566" bestFit="1" customWidth="1"/>
    <col min="2056" max="2056" width="12.83203125" style="566" customWidth="1"/>
    <col min="2057" max="2057" width="11.83203125" style="566" bestFit="1" customWidth="1"/>
    <col min="2058" max="2058" width="14.83203125" style="566" bestFit="1" customWidth="1"/>
    <col min="2059" max="2304" width="12.5" style="566"/>
    <col min="2305" max="2305" width="34" style="566" bestFit="1" customWidth="1"/>
    <col min="2306" max="2306" width="13" style="566" bestFit="1" customWidth="1"/>
    <col min="2307" max="2308" width="14.83203125" style="566" bestFit="1" customWidth="1"/>
    <col min="2309" max="2309" width="13.1640625" style="566" customWidth="1"/>
    <col min="2310" max="2311" width="13" style="566" bestFit="1" customWidth="1"/>
    <col min="2312" max="2312" width="12.83203125" style="566" customWidth="1"/>
    <col min="2313" max="2313" width="11.83203125" style="566" bestFit="1" customWidth="1"/>
    <col min="2314" max="2314" width="14.83203125" style="566" bestFit="1" customWidth="1"/>
    <col min="2315" max="2560" width="12.5" style="566"/>
    <col min="2561" max="2561" width="34" style="566" bestFit="1" customWidth="1"/>
    <col min="2562" max="2562" width="13" style="566" bestFit="1" customWidth="1"/>
    <col min="2563" max="2564" width="14.83203125" style="566" bestFit="1" customWidth="1"/>
    <col min="2565" max="2565" width="13.1640625" style="566" customWidth="1"/>
    <col min="2566" max="2567" width="13" style="566" bestFit="1" customWidth="1"/>
    <col min="2568" max="2568" width="12.83203125" style="566" customWidth="1"/>
    <col min="2569" max="2569" width="11.83203125" style="566" bestFit="1" customWidth="1"/>
    <col min="2570" max="2570" width="14.83203125" style="566" bestFit="1" customWidth="1"/>
    <col min="2571" max="2816" width="12.5" style="566"/>
    <col min="2817" max="2817" width="34" style="566" bestFit="1" customWidth="1"/>
    <col min="2818" max="2818" width="13" style="566" bestFit="1" customWidth="1"/>
    <col min="2819" max="2820" width="14.83203125" style="566" bestFit="1" customWidth="1"/>
    <col min="2821" max="2821" width="13.1640625" style="566" customWidth="1"/>
    <col min="2822" max="2823" width="13" style="566" bestFit="1" customWidth="1"/>
    <col min="2824" max="2824" width="12.83203125" style="566" customWidth="1"/>
    <col min="2825" max="2825" width="11.83203125" style="566" bestFit="1" customWidth="1"/>
    <col min="2826" max="2826" width="14.83203125" style="566" bestFit="1" customWidth="1"/>
    <col min="2827" max="3072" width="12.5" style="566"/>
    <col min="3073" max="3073" width="34" style="566" bestFit="1" customWidth="1"/>
    <col min="3074" max="3074" width="13" style="566" bestFit="1" customWidth="1"/>
    <col min="3075" max="3076" width="14.83203125" style="566" bestFit="1" customWidth="1"/>
    <col min="3077" max="3077" width="13.1640625" style="566" customWidth="1"/>
    <col min="3078" max="3079" width="13" style="566" bestFit="1" customWidth="1"/>
    <col min="3080" max="3080" width="12.83203125" style="566" customWidth="1"/>
    <col min="3081" max="3081" width="11.83203125" style="566" bestFit="1" customWidth="1"/>
    <col min="3082" max="3082" width="14.83203125" style="566" bestFit="1" customWidth="1"/>
    <col min="3083" max="3328" width="12.5" style="566"/>
    <col min="3329" max="3329" width="34" style="566" bestFit="1" customWidth="1"/>
    <col min="3330" max="3330" width="13" style="566" bestFit="1" customWidth="1"/>
    <col min="3331" max="3332" width="14.83203125" style="566" bestFit="1" customWidth="1"/>
    <col min="3333" max="3333" width="13.1640625" style="566" customWidth="1"/>
    <col min="3334" max="3335" width="13" style="566" bestFit="1" customWidth="1"/>
    <col min="3336" max="3336" width="12.83203125" style="566" customWidth="1"/>
    <col min="3337" max="3337" width="11.83203125" style="566" bestFit="1" customWidth="1"/>
    <col min="3338" max="3338" width="14.83203125" style="566" bestFit="1" customWidth="1"/>
    <col min="3339" max="3584" width="12.5" style="566"/>
    <col min="3585" max="3585" width="34" style="566" bestFit="1" customWidth="1"/>
    <col min="3586" max="3586" width="13" style="566" bestFit="1" customWidth="1"/>
    <col min="3587" max="3588" width="14.83203125" style="566" bestFit="1" customWidth="1"/>
    <col min="3589" max="3589" width="13.1640625" style="566" customWidth="1"/>
    <col min="3590" max="3591" width="13" style="566" bestFit="1" customWidth="1"/>
    <col min="3592" max="3592" width="12.83203125" style="566" customWidth="1"/>
    <col min="3593" max="3593" width="11.83203125" style="566" bestFit="1" customWidth="1"/>
    <col min="3594" max="3594" width="14.83203125" style="566" bestFit="1" customWidth="1"/>
    <col min="3595" max="3840" width="12.5" style="566"/>
    <col min="3841" max="3841" width="34" style="566" bestFit="1" customWidth="1"/>
    <col min="3842" max="3842" width="13" style="566" bestFit="1" customWidth="1"/>
    <col min="3843" max="3844" width="14.83203125" style="566" bestFit="1" customWidth="1"/>
    <col min="3845" max="3845" width="13.1640625" style="566" customWidth="1"/>
    <col min="3846" max="3847" width="13" style="566" bestFit="1" customWidth="1"/>
    <col min="3848" max="3848" width="12.83203125" style="566" customWidth="1"/>
    <col min="3849" max="3849" width="11.83203125" style="566" bestFit="1" customWidth="1"/>
    <col min="3850" max="3850" width="14.83203125" style="566" bestFit="1" customWidth="1"/>
    <col min="3851" max="4096" width="12.5" style="566"/>
    <col min="4097" max="4097" width="34" style="566" bestFit="1" customWidth="1"/>
    <col min="4098" max="4098" width="13" style="566" bestFit="1" customWidth="1"/>
    <col min="4099" max="4100" width="14.83203125" style="566" bestFit="1" customWidth="1"/>
    <col min="4101" max="4101" width="13.1640625" style="566" customWidth="1"/>
    <col min="4102" max="4103" width="13" style="566" bestFit="1" customWidth="1"/>
    <col min="4104" max="4104" width="12.83203125" style="566" customWidth="1"/>
    <col min="4105" max="4105" width="11.83203125" style="566" bestFit="1" customWidth="1"/>
    <col min="4106" max="4106" width="14.83203125" style="566" bestFit="1" customWidth="1"/>
    <col min="4107" max="4352" width="12.5" style="566"/>
    <col min="4353" max="4353" width="34" style="566" bestFit="1" customWidth="1"/>
    <col min="4354" max="4354" width="13" style="566" bestFit="1" customWidth="1"/>
    <col min="4355" max="4356" width="14.83203125" style="566" bestFit="1" customWidth="1"/>
    <col min="4357" max="4357" width="13.1640625" style="566" customWidth="1"/>
    <col min="4358" max="4359" width="13" style="566" bestFit="1" customWidth="1"/>
    <col min="4360" max="4360" width="12.83203125" style="566" customWidth="1"/>
    <col min="4361" max="4361" width="11.83203125" style="566" bestFit="1" customWidth="1"/>
    <col min="4362" max="4362" width="14.83203125" style="566" bestFit="1" customWidth="1"/>
    <col min="4363" max="4608" width="12.5" style="566"/>
    <col min="4609" max="4609" width="34" style="566" bestFit="1" customWidth="1"/>
    <col min="4610" max="4610" width="13" style="566" bestFit="1" customWidth="1"/>
    <col min="4611" max="4612" width="14.83203125" style="566" bestFit="1" customWidth="1"/>
    <col min="4613" max="4613" width="13.1640625" style="566" customWidth="1"/>
    <col min="4614" max="4615" width="13" style="566" bestFit="1" customWidth="1"/>
    <col min="4616" max="4616" width="12.83203125" style="566" customWidth="1"/>
    <col min="4617" max="4617" width="11.83203125" style="566" bestFit="1" customWidth="1"/>
    <col min="4618" max="4618" width="14.83203125" style="566" bestFit="1" customWidth="1"/>
    <col min="4619" max="4864" width="12.5" style="566"/>
    <col min="4865" max="4865" width="34" style="566" bestFit="1" customWidth="1"/>
    <col min="4866" max="4866" width="13" style="566" bestFit="1" customWidth="1"/>
    <col min="4867" max="4868" width="14.83203125" style="566" bestFit="1" customWidth="1"/>
    <col min="4869" max="4869" width="13.1640625" style="566" customWidth="1"/>
    <col min="4870" max="4871" width="13" style="566" bestFit="1" customWidth="1"/>
    <col min="4872" max="4872" width="12.83203125" style="566" customWidth="1"/>
    <col min="4873" max="4873" width="11.83203125" style="566" bestFit="1" customWidth="1"/>
    <col min="4874" max="4874" width="14.83203125" style="566" bestFit="1" customWidth="1"/>
    <col min="4875" max="5120" width="12.5" style="566"/>
    <col min="5121" max="5121" width="34" style="566" bestFit="1" customWidth="1"/>
    <col min="5122" max="5122" width="13" style="566" bestFit="1" customWidth="1"/>
    <col min="5123" max="5124" width="14.83203125" style="566" bestFit="1" customWidth="1"/>
    <col min="5125" max="5125" width="13.1640625" style="566" customWidth="1"/>
    <col min="5126" max="5127" width="13" style="566" bestFit="1" customWidth="1"/>
    <col min="5128" max="5128" width="12.83203125" style="566" customWidth="1"/>
    <col min="5129" max="5129" width="11.83203125" style="566" bestFit="1" customWidth="1"/>
    <col min="5130" max="5130" width="14.83203125" style="566" bestFit="1" customWidth="1"/>
    <col min="5131" max="5376" width="12.5" style="566"/>
    <col min="5377" max="5377" width="34" style="566" bestFit="1" customWidth="1"/>
    <col min="5378" max="5378" width="13" style="566" bestFit="1" customWidth="1"/>
    <col min="5379" max="5380" width="14.83203125" style="566" bestFit="1" customWidth="1"/>
    <col min="5381" max="5381" width="13.1640625" style="566" customWidth="1"/>
    <col min="5382" max="5383" width="13" style="566" bestFit="1" customWidth="1"/>
    <col min="5384" max="5384" width="12.83203125" style="566" customWidth="1"/>
    <col min="5385" max="5385" width="11.83203125" style="566" bestFit="1" customWidth="1"/>
    <col min="5386" max="5386" width="14.83203125" style="566" bestFit="1" customWidth="1"/>
    <col min="5387" max="5632" width="12.5" style="566"/>
    <col min="5633" max="5633" width="34" style="566" bestFit="1" customWidth="1"/>
    <col min="5634" max="5634" width="13" style="566" bestFit="1" customWidth="1"/>
    <col min="5635" max="5636" width="14.83203125" style="566" bestFit="1" customWidth="1"/>
    <col min="5637" max="5637" width="13.1640625" style="566" customWidth="1"/>
    <col min="5638" max="5639" width="13" style="566" bestFit="1" customWidth="1"/>
    <col min="5640" max="5640" width="12.83203125" style="566" customWidth="1"/>
    <col min="5641" max="5641" width="11.83203125" style="566" bestFit="1" customWidth="1"/>
    <col min="5642" max="5642" width="14.83203125" style="566" bestFit="1" customWidth="1"/>
    <col min="5643" max="5888" width="12.5" style="566"/>
    <col min="5889" max="5889" width="34" style="566" bestFit="1" customWidth="1"/>
    <col min="5890" max="5890" width="13" style="566" bestFit="1" customWidth="1"/>
    <col min="5891" max="5892" width="14.83203125" style="566" bestFit="1" customWidth="1"/>
    <col min="5893" max="5893" width="13.1640625" style="566" customWidth="1"/>
    <col min="5894" max="5895" width="13" style="566" bestFit="1" customWidth="1"/>
    <col min="5896" max="5896" width="12.83203125" style="566" customWidth="1"/>
    <col min="5897" max="5897" width="11.83203125" style="566" bestFit="1" customWidth="1"/>
    <col min="5898" max="5898" width="14.83203125" style="566" bestFit="1" customWidth="1"/>
    <col min="5899" max="6144" width="12.5" style="566"/>
    <col min="6145" max="6145" width="34" style="566" bestFit="1" customWidth="1"/>
    <col min="6146" max="6146" width="13" style="566" bestFit="1" customWidth="1"/>
    <col min="6147" max="6148" width="14.83203125" style="566" bestFit="1" customWidth="1"/>
    <col min="6149" max="6149" width="13.1640625" style="566" customWidth="1"/>
    <col min="6150" max="6151" width="13" style="566" bestFit="1" customWidth="1"/>
    <col min="6152" max="6152" width="12.83203125" style="566" customWidth="1"/>
    <col min="6153" max="6153" width="11.83203125" style="566" bestFit="1" customWidth="1"/>
    <col min="6154" max="6154" width="14.83203125" style="566" bestFit="1" customWidth="1"/>
    <col min="6155" max="6400" width="12.5" style="566"/>
    <col min="6401" max="6401" width="34" style="566" bestFit="1" customWidth="1"/>
    <col min="6402" max="6402" width="13" style="566" bestFit="1" customWidth="1"/>
    <col min="6403" max="6404" width="14.83203125" style="566" bestFit="1" customWidth="1"/>
    <col min="6405" max="6405" width="13.1640625" style="566" customWidth="1"/>
    <col min="6406" max="6407" width="13" style="566" bestFit="1" customWidth="1"/>
    <col min="6408" max="6408" width="12.83203125" style="566" customWidth="1"/>
    <col min="6409" max="6409" width="11.83203125" style="566" bestFit="1" customWidth="1"/>
    <col min="6410" max="6410" width="14.83203125" style="566" bestFit="1" customWidth="1"/>
    <col min="6411" max="6656" width="12.5" style="566"/>
    <col min="6657" max="6657" width="34" style="566" bestFit="1" customWidth="1"/>
    <col min="6658" max="6658" width="13" style="566" bestFit="1" customWidth="1"/>
    <col min="6659" max="6660" width="14.83203125" style="566" bestFit="1" customWidth="1"/>
    <col min="6661" max="6661" width="13.1640625" style="566" customWidth="1"/>
    <col min="6662" max="6663" width="13" style="566" bestFit="1" customWidth="1"/>
    <col min="6664" max="6664" width="12.83203125" style="566" customWidth="1"/>
    <col min="6665" max="6665" width="11.83203125" style="566" bestFit="1" customWidth="1"/>
    <col min="6666" max="6666" width="14.83203125" style="566" bestFit="1" customWidth="1"/>
    <col min="6667" max="6912" width="12.5" style="566"/>
    <col min="6913" max="6913" width="34" style="566" bestFit="1" customWidth="1"/>
    <col min="6914" max="6914" width="13" style="566" bestFit="1" customWidth="1"/>
    <col min="6915" max="6916" width="14.83203125" style="566" bestFit="1" customWidth="1"/>
    <col min="6917" max="6917" width="13.1640625" style="566" customWidth="1"/>
    <col min="6918" max="6919" width="13" style="566" bestFit="1" customWidth="1"/>
    <col min="6920" max="6920" width="12.83203125" style="566" customWidth="1"/>
    <col min="6921" max="6921" width="11.83203125" style="566" bestFit="1" customWidth="1"/>
    <col min="6922" max="6922" width="14.83203125" style="566" bestFit="1" customWidth="1"/>
    <col min="6923" max="7168" width="12.5" style="566"/>
    <col min="7169" max="7169" width="34" style="566" bestFit="1" customWidth="1"/>
    <col min="7170" max="7170" width="13" style="566" bestFit="1" customWidth="1"/>
    <col min="7171" max="7172" width="14.83203125" style="566" bestFit="1" customWidth="1"/>
    <col min="7173" max="7173" width="13.1640625" style="566" customWidth="1"/>
    <col min="7174" max="7175" width="13" style="566" bestFit="1" customWidth="1"/>
    <col min="7176" max="7176" width="12.83203125" style="566" customWidth="1"/>
    <col min="7177" max="7177" width="11.83203125" style="566" bestFit="1" customWidth="1"/>
    <col min="7178" max="7178" width="14.83203125" style="566" bestFit="1" customWidth="1"/>
    <col min="7179" max="7424" width="12.5" style="566"/>
    <col min="7425" max="7425" width="34" style="566" bestFit="1" customWidth="1"/>
    <col min="7426" max="7426" width="13" style="566" bestFit="1" customWidth="1"/>
    <col min="7427" max="7428" width="14.83203125" style="566" bestFit="1" customWidth="1"/>
    <col min="7429" max="7429" width="13.1640625" style="566" customWidth="1"/>
    <col min="7430" max="7431" width="13" style="566" bestFit="1" customWidth="1"/>
    <col min="7432" max="7432" width="12.83203125" style="566" customWidth="1"/>
    <col min="7433" max="7433" width="11.83203125" style="566" bestFit="1" customWidth="1"/>
    <col min="7434" max="7434" width="14.83203125" style="566" bestFit="1" customWidth="1"/>
    <col min="7435" max="7680" width="12.5" style="566"/>
    <col min="7681" max="7681" width="34" style="566" bestFit="1" customWidth="1"/>
    <col min="7682" max="7682" width="13" style="566" bestFit="1" customWidth="1"/>
    <col min="7683" max="7684" width="14.83203125" style="566" bestFit="1" customWidth="1"/>
    <col min="7685" max="7685" width="13.1640625" style="566" customWidth="1"/>
    <col min="7686" max="7687" width="13" style="566" bestFit="1" customWidth="1"/>
    <col min="7688" max="7688" width="12.83203125" style="566" customWidth="1"/>
    <col min="7689" max="7689" width="11.83203125" style="566" bestFit="1" customWidth="1"/>
    <col min="7690" max="7690" width="14.83203125" style="566" bestFit="1" customWidth="1"/>
    <col min="7691" max="7936" width="12.5" style="566"/>
    <col min="7937" max="7937" width="34" style="566" bestFit="1" customWidth="1"/>
    <col min="7938" max="7938" width="13" style="566" bestFit="1" customWidth="1"/>
    <col min="7939" max="7940" width="14.83203125" style="566" bestFit="1" customWidth="1"/>
    <col min="7941" max="7941" width="13.1640625" style="566" customWidth="1"/>
    <col min="7942" max="7943" width="13" style="566" bestFit="1" customWidth="1"/>
    <col min="7944" max="7944" width="12.83203125" style="566" customWidth="1"/>
    <col min="7945" max="7945" width="11.83203125" style="566" bestFit="1" customWidth="1"/>
    <col min="7946" max="7946" width="14.83203125" style="566" bestFit="1" customWidth="1"/>
    <col min="7947" max="8192" width="12.5" style="566"/>
    <col min="8193" max="8193" width="34" style="566" bestFit="1" customWidth="1"/>
    <col min="8194" max="8194" width="13" style="566" bestFit="1" customWidth="1"/>
    <col min="8195" max="8196" width="14.83203125" style="566" bestFit="1" customWidth="1"/>
    <col min="8197" max="8197" width="13.1640625" style="566" customWidth="1"/>
    <col min="8198" max="8199" width="13" style="566" bestFit="1" customWidth="1"/>
    <col min="8200" max="8200" width="12.83203125" style="566" customWidth="1"/>
    <col min="8201" max="8201" width="11.83203125" style="566" bestFit="1" customWidth="1"/>
    <col min="8202" max="8202" width="14.83203125" style="566" bestFit="1" customWidth="1"/>
    <col min="8203" max="8448" width="12.5" style="566"/>
    <col min="8449" max="8449" width="34" style="566" bestFit="1" customWidth="1"/>
    <col min="8450" max="8450" width="13" style="566" bestFit="1" customWidth="1"/>
    <col min="8451" max="8452" width="14.83203125" style="566" bestFit="1" customWidth="1"/>
    <col min="8453" max="8453" width="13.1640625" style="566" customWidth="1"/>
    <col min="8454" max="8455" width="13" style="566" bestFit="1" customWidth="1"/>
    <col min="8456" max="8456" width="12.83203125" style="566" customWidth="1"/>
    <col min="8457" max="8457" width="11.83203125" style="566" bestFit="1" customWidth="1"/>
    <col min="8458" max="8458" width="14.83203125" style="566" bestFit="1" customWidth="1"/>
    <col min="8459" max="8704" width="12.5" style="566"/>
    <col min="8705" max="8705" width="34" style="566" bestFit="1" customWidth="1"/>
    <col min="8706" max="8706" width="13" style="566" bestFit="1" customWidth="1"/>
    <col min="8707" max="8708" width="14.83203125" style="566" bestFit="1" customWidth="1"/>
    <col min="8709" max="8709" width="13.1640625" style="566" customWidth="1"/>
    <col min="8710" max="8711" width="13" style="566" bestFit="1" customWidth="1"/>
    <col min="8712" max="8712" width="12.83203125" style="566" customWidth="1"/>
    <col min="8713" max="8713" width="11.83203125" style="566" bestFit="1" customWidth="1"/>
    <col min="8714" max="8714" width="14.83203125" style="566" bestFit="1" customWidth="1"/>
    <col min="8715" max="8960" width="12.5" style="566"/>
    <col min="8961" max="8961" width="34" style="566" bestFit="1" customWidth="1"/>
    <col min="8962" max="8962" width="13" style="566" bestFit="1" customWidth="1"/>
    <col min="8963" max="8964" width="14.83203125" style="566" bestFit="1" customWidth="1"/>
    <col min="8965" max="8965" width="13.1640625" style="566" customWidth="1"/>
    <col min="8966" max="8967" width="13" style="566" bestFit="1" customWidth="1"/>
    <col min="8968" max="8968" width="12.83203125" style="566" customWidth="1"/>
    <col min="8969" max="8969" width="11.83203125" style="566" bestFit="1" customWidth="1"/>
    <col min="8970" max="8970" width="14.83203125" style="566" bestFit="1" customWidth="1"/>
    <col min="8971" max="9216" width="12.5" style="566"/>
    <col min="9217" max="9217" width="34" style="566" bestFit="1" customWidth="1"/>
    <col min="9218" max="9218" width="13" style="566" bestFit="1" customWidth="1"/>
    <col min="9219" max="9220" width="14.83203125" style="566" bestFit="1" customWidth="1"/>
    <col min="9221" max="9221" width="13.1640625" style="566" customWidth="1"/>
    <col min="9222" max="9223" width="13" style="566" bestFit="1" customWidth="1"/>
    <col min="9224" max="9224" width="12.83203125" style="566" customWidth="1"/>
    <col min="9225" max="9225" width="11.83203125" style="566" bestFit="1" customWidth="1"/>
    <col min="9226" max="9226" width="14.83203125" style="566" bestFit="1" customWidth="1"/>
    <col min="9227" max="9472" width="12.5" style="566"/>
    <col min="9473" max="9473" width="34" style="566" bestFit="1" customWidth="1"/>
    <col min="9474" max="9474" width="13" style="566" bestFit="1" customWidth="1"/>
    <col min="9475" max="9476" width="14.83203125" style="566" bestFit="1" customWidth="1"/>
    <col min="9477" max="9477" width="13.1640625" style="566" customWidth="1"/>
    <col min="9478" max="9479" width="13" style="566" bestFit="1" customWidth="1"/>
    <col min="9480" max="9480" width="12.83203125" style="566" customWidth="1"/>
    <col min="9481" max="9481" width="11.83203125" style="566" bestFit="1" customWidth="1"/>
    <col min="9482" max="9482" width="14.83203125" style="566" bestFit="1" customWidth="1"/>
    <col min="9483" max="9728" width="12.5" style="566"/>
    <col min="9729" max="9729" width="34" style="566" bestFit="1" customWidth="1"/>
    <col min="9730" max="9730" width="13" style="566" bestFit="1" customWidth="1"/>
    <col min="9731" max="9732" width="14.83203125" style="566" bestFit="1" customWidth="1"/>
    <col min="9733" max="9733" width="13.1640625" style="566" customWidth="1"/>
    <col min="9734" max="9735" width="13" style="566" bestFit="1" customWidth="1"/>
    <col min="9736" max="9736" width="12.83203125" style="566" customWidth="1"/>
    <col min="9737" max="9737" width="11.83203125" style="566" bestFit="1" customWidth="1"/>
    <col min="9738" max="9738" width="14.83203125" style="566" bestFit="1" customWidth="1"/>
    <col min="9739" max="9984" width="12.5" style="566"/>
    <col min="9985" max="9985" width="34" style="566" bestFit="1" customWidth="1"/>
    <col min="9986" max="9986" width="13" style="566" bestFit="1" customWidth="1"/>
    <col min="9987" max="9988" width="14.83203125" style="566" bestFit="1" customWidth="1"/>
    <col min="9989" max="9989" width="13.1640625" style="566" customWidth="1"/>
    <col min="9990" max="9991" width="13" style="566" bestFit="1" customWidth="1"/>
    <col min="9992" max="9992" width="12.83203125" style="566" customWidth="1"/>
    <col min="9993" max="9993" width="11.83203125" style="566" bestFit="1" customWidth="1"/>
    <col min="9994" max="9994" width="14.83203125" style="566" bestFit="1" customWidth="1"/>
    <col min="9995" max="10240" width="12.5" style="566"/>
    <col min="10241" max="10241" width="34" style="566" bestFit="1" customWidth="1"/>
    <col min="10242" max="10242" width="13" style="566" bestFit="1" customWidth="1"/>
    <col min="10243" max="10244" width="14.83203125" style="566" bestFit="1" customWidth="1"/>
    <col min="10245" max="10245" width="13.1640625" style="566" customWidth="1"/>
    <col min="10246" max="10247" width="13" style="566" bestFit="1" customWidth="1"/>
    <col min="10248" max="10248" width="12.83203125" style="566" customWidth="1"/>
    <col min="10249" max="10249" width="11.83203125" style="566" bestFit="1" customWidth="1"/>
    <col min="10250" max="10250" width="14.83203125" style="566" bestFit="1" customWidth="1"/>
    <col min="10251" max="10496" width="12.5" style="566"/>
    <col min="10497" max="10497" width="34" style="566" bestFit="1" customWidth="1"/>
    <col min="10498" max="10498" width="13" style="566" bestFit="1" customWidth="1"/>
    <col min="10499" max="10500" width="14.83203125" style="566" bestFit="1" customWidth="1"/>
    <col min="10501" max="10501" width="13.1640625" style="566" customWidth="1"/>
    <col min="10502" max="10503" width="13" style="566" bestFit="1" customWidth="1"/>
    <col min="10504" max="10504" width="12.83203125" style="566" customWidth="1"/>
    <col min="10505" max="10505" width="11.83203125" style="566" bestFit="1" customWidth="1"/>
    <col min="10506" max="10506" width="14.83203125" style="566" bestFit="1" customWidth="1"/>
    <col min="10507" max="10752" width="12.5" style="566"/>
    <col min="10753" max="10753" width="34" style="566" bestFit="1" customWidth="1"/>
    <col min="10754" max="10754" width="13" style="566" bestFit="1" customWidth="1"/>
    <col min="10755" max="10756" width="14.83203125" style="566" bestFit="1" customWidth="1"/>
    <col min="10757" max="10757" width="13.1640625" style="566" customWidth="1"/>
    <col min="10758" max="10759" width="13" style="566" bestFit="1" customWidth="1"/>
    <col min="10760" max="10760" width="12.83203125" style="566" customWidth="1"/>
    <col min="10761" max="10761" width="11.83203125" style="566" bestFit="1" customWidth="1"/>
    <col min="10762" max="10762" width="14.83203125" style="566" bestFit="1" customWidth="1"/>
    <col min="10763" max="11008" width="12.5" style="566"/>
    <col min="11009" max="11009" width="34" style="566" bestFit="1" customWidth="1"/>
    <col min="11010" max="11010" width="13" style="566" bestFit="1" customWidth="1"/>
    <col min="11011" max="11012" width="14.83203125" style="566" bestFit="1" customWidth="1"/>
    <col min="11013" max="11013" width="13.1640625" style="566" customWidth="1"/>
    <col min="11014" max="11015" width="13" style="566" bestFit="1" customWidth="1"/>
    <col min="11016" max="11016" width="12.83203125" style="566" customWidth="1"/>
    <col min="11017" max="11017" width="11.83203125" style="566" bestFit="1" customWidth="1"/>
    <col min="11018" max="11018" width="14.83203125" style="566" bestFit="1" customWidth="1"/>
    <col min="11019" max="11264" width="12.5" style="566"/>
    <col min="11265" max="11265" width="34" style="566" bestFit="1" customWidth="1"/>
    <col min="11266" max="11266" width="13" style="566" bestFit="1" customWidth="1"/>
    <col min="11267" max="11268" width="14.83203125" style="566" bestFit="1" customWidth="1"/>
    <col min="11269" max="11269" width="13.1640625" style="566" customWidth="1"/>
    <col min="11270" max="11271" width="13" style="566" bestFit="1" customWidth="1"/>
    <col min="11272" max="11272" width="12.83203125" style="566" customWidth="1"/>
    <col min="11273" max="11273" width="11.83203125" style="566" bestFit="1" customWidth="1"/>
    <col min="11274" max="11274" width="14.83203125" style="566" bestFit="1" customWidth="1"/>
    <col min="11275" max="11520" width="12.5" style="566"/>
    <col min="11521" max="11521" width="34" style="566" bestFit="1" customWidth="1"/>
    <col min="11522" max="11522" width="13" style="566" bestFit="1" customWidth="1"/>
    <col min="11523" max="11524" width="14.83203125" style="566" bestFit="1" customWidth="1"/>
    <col min="11525" max="11525" width="13.1640625" style="566" customWidth="1"/>
    <col min="11526" max="11527" width="13" style="566" bestFit="1" customWidth="1"/>
    <col min="11528" max="11528" width="12.83203125" style="566" customWidth="1"/>
    <col min="11529" max="11529" width="11.83203125" style="566" bestFit="1" customWidth="1"/>
    <col min="11530" max="11530" width="14.83203125" style="566" bestFit="1" customWidth="1"/>
    <col min="11531" max="11776" width="12.5" style="566"/>
    <col min="11777" max="11777" width="34" style="566" bestFit="1" customWidth="1"/>
    <col min="11778" max="11778" width="13" style="566" bestFit="1" customWidth="1"/>
    <col min="11779" max="11780" width="14.83203125" style="566" bestFit="1" customWidth="1"/>
    <col min="11781" max="11781" width="13.1640625" style="566" customWidth="1"/>
    <col min="11782" max="11783" width="13" style="566" bestFit="1" customWidth="1"/>
    <col min="11784" max="11784" width="12.83203125" style="566" customWidth="1"/>
    <col min="11785" max="11785" width="11.83203125" style="566" bestFit="1" customWidth="1"/>
    <col min="11786" max="11786" width="14.83203125" style="566" bestFit="1" customWidth="1"/>
    <col min="11787" max="12032" width="12.5" style="566"/>
    <col min="12033" max="12033" width="34" style="566" bestFit="1" customWidth="1"/>
    <col min="12034" max="12034" width="13" style="566" bestFit="1" customWidth="1"/>
    <col min="12035" max="12036" width="14.83203125" style="566" bestFit="1" customWidth="1"/>
    <col min="12037" max="12037" width="13.1640625" style="566" customWidth="1"/>
    <col min="12038" max="12039" width="13" style="566" bestFit="1" customWidth="1"/>
    <col min="12040" max="12040" width="12.83203125" style="566" customWidth="1"/>
    <col min="12041" max="12041" width="11.83203125" style="566" bestFit="1" customWidth="1"/>
    <col min="12042" max="12042" width="14.83203125" style="566" bestFit="1" customWidth="1"/>
    <col min="12043" max="12288" width="12.5" style="566"/>
    <col min="12289" max="12289" width="34" style="566" bestFit="1" customWidth="1"/>
    <col min="12290" max="12290" width="13" style="566" bestFit="1" customWidth="1"/>
    <col min="12291" max="12292" width="14.83203125" style="566" bestFit="1" customWidth="1"/>
    <col min="12293" max="12293" width="13.1640625" style="566" customWidth="1"/>
    <col min="12294" max="12295" width="13" style="566" bestFit="1" customWidth="1"/>
    <col min="12296" max="12296" width="12.83203125" style="566" customWidth="1"/>
    <col min="12297" max="12297" width="11.83203125" style="566" bestFit="1" customWidth="1"/>
    <col min="12298" max="12298" width="14.83203125" style="566" bestFit="1" customWidth="1"/>
    <col min="12299" max="12544" width="12.5" style="566"/>
    <col min="12545" max="12545" width="34" style="566" bestFit="1" customWidth="1"/>
    <col min="12546" max="12546" width="13" style="566" bestFit="1" customWidth="1"/>
    <col min="12547" max="12548" width="14.83203125" style="566" bestFit="1" customWidth="1"/>
    <col min="12549" max="12549" width="13.1640625" style="566" customWidth="1"/>
    <col min="12550" max="12551" width="13" style="566" bestFit="1" customWidth="1"/>
    <col min="12552" max="12552" width="12.83203125" style="566" customWidth="1"/>
    <col min="12553" max="12553" width="11.83203125" style="566" bestFit="1" customWidth="1"/>
    <col min="12554" max="12554" width="14.83203125" style="566" bestFit="1" customWidth="1"/>
    <col min="12555" max="12800" width="12.5" style="566"/>
    <col min="12801" max="12801" width="34" style="566" bestFit="1" customWidth="1"/>
    <col min="12802" max="12802" width="13" style="566" bestFit="1" customWidth="1"/>
    <col min="12803" max="12804" width="14.83203125" style="566" bestFit="1" customWidth="1"/>
    <col min="12805" max="12805" width="13.1640625" style="566" customWidth="1"/>
    <col min="12806" max="12807" width="13" style="566" bestFit="1" customWidth="1"/>
    <col min="12808" max="12808" width="12.83203125" style="566" customWidth="1"/>
    <col min="12809" max="12809" width="11.83203125" style="566" bestFit="1" customWidth="1"/>
    <col min="12810" max="12810" width="14.83203125" style="566" bestFit="1" customWidth="1"/>
    <col min="12811" max="13056" width="12.5" style="566"/>
    <col min="13057" max="13057" width="34" style="566" bestFit="1" customWidth="1"/>
    <col min="13058" max="13058" width="13" style="566" bestFit="1" customWidth="1"/>
    <col min="13059" max="13060" width="14.83203125" style="566" bestFit="1" customWidth="1"/>
    <col min="13061" max="13061" width="13.1640625" style="566" customWidth="1"/>
    <col min="13062" max="13063" width="13" style="566" bestFit="1" customWidth="1"/>
    <col min="13064" max="13064" width="12.83203125" style="566" customWidth="1"/>
    <col min="13065" max="13065" width="11.83203125" style="566" bestFit="1" customWidth="1"/>
    <col min="13066" max="13066" width="14.83203125" style="566" bestFit="1" customWidth="1"/>
    <col min="13067" max="13312" width="12.5" style="566"/>
    <col min="13313" max="13313" width="34" style="566" bestFit="1" customWidth="1"/>
    <col min="13314" max="13314" width="13" style="566" bestFit="1" customWidth="1"/>
    <col min="13315" max="13316" width="14.83203125" style="566" bestFit="1" customWidth="1"/>
    <col min="13317" max="13317" width="13.1640625" style="566" customWidth="1"/>
    <col min="13318" max="13319" width="13" style="566" bestFit="1" customWidth="1"/>
    <col min="13320" max="13320" width="12.83203125" style="566" customWidth="1"/>
    <col min="13321" max="13321" width="11.83203125" style="566" bestFit="1" customWidth="1"/>
    <col min="13322" max="13322" width="14.83203125" style="566" bestFit="1" customWidth="1"/>
    <col min="13323" max="13568" width="12.5" style="566"/>
    <col min="13569" max="13569" width="34" style="566" bestFit="1" customWidth="1"/>
    <col min="13570" max="13570" width="13" style="566" bestFit="1" customWidth="1"/>
    <col min="13571" max="13572" width="14.83203125" style="566" bestFit="1" customWidth="1"/>
    <col min="13573" max="13573" width="13.1640625" style="566" customWidth="1"/>
    <col min="13574" max="13575" width="13" style="566" bestFit="1" customWidth="1"/>
    <col min="13576" max="13576" width="12.83203125" style="566" customWidth="1"/>
    <col min="13577" max="13577" width="11.83203125" style="566" bestFit="1" customWidth="1"/>
    <col min="13578" max="13578" width="14.83203125" style="566" bestFit="1" customWidth="1"/>
    <col min="13579" max="13824" width="12.5" style="566"/>
    <col min="13825" max="13825" width="34" style="566" bestFit="1" customWidth="1"/>
    <col min="13826" max="13826" width="13" style="566" bestFit="1" customWidth="1"/>
    <col min="13827" max="13828" width="14.83203125" style="566" bestFit="1" customWidth="1"/>
    <col min="13829" max="13829" width="13.1640625" style="566" customWidth="1"/>
    <col min="13830" max="13831" width="13" style="566" bestFit="1" customWidth="1"/>
    <col min="13832" max="13832" width="12.83203125" style="566" customWidth="1"/>
    <col min="13833" max="13833" width="11.83203125" style="566" bestFit="1" customWidth="1"/>
    <col min="13834" max="13834" width="14.83203125" style="566" bestFit="1" customWidth="1"/>
    <col min="13835" max="14080" width="12.5" style="566"/>
    <col min="14081" max="14081" width="34" style="566" bestFit="1" customWidth="1"/>
    <col min="14082" max="14082" width="13" style="566" bestFit="1" customWidth="1"/>
    <col min="14083" max="14084" width="14.83203125" style="566" bestFit="1" customWidth="1"/>
    <col min="14085" max="14085" width="13.1640625" style="566" customWidth="1"/>
    <col min="14086" max="14087" width="13" style="566" bestFit="1" customWidth="1"/>
    <col min="14088" max="14088" width="12.83203125" style="566" customWidth="1"/>
    <col min="14089" max="14089" width="11.83203125" style="566" bestFit="1" customWidth="1"/>
    <col min="14090" max="14090" width="14.83203125" style="566" bestFit="1" customWidth="1"/>
    <col min="14091" max="14336" width="12.5" style="566"/>
    <col min="14337" max="14337" width="34" style="566" bestFit="1" customWidth="1"/>
    <col min="14338" max="14338" width="13" style="566" bestFit="1" customWidth="1"/>
    <col min="14339" max="14340" width="14.83203125" style="566" bestFit="1" customWidth="1"/>
    <col min="14341" max="14341" width="13.1640625" style="566" customWidth="1"/>
    <col min="14342" max="14343" width="13" style="566" bestFit="1" customWidth="1"/>
    <col min="14344" max="14344" width="12.83203125" style="566" customWidth="1"/>
    <col min="14345" max="14345" width="11.83203125" style="566" bestFit="1" customWidth="1"/>
    <col min="14346" max="14346" width="14.83203125" style="566" bestFit="1" customWidth="1"/>
    <col min="14347" max="14592" width="12.5" style="566"/>
    <col min="14593" max="14593" width="34" style="566" bestFit="1" customWidth="1"/>
    <col min="14594" max="14594" width="13" style="566" bestFit="1" customWidth="1"/>
    <col min="14595" max="14596" width="14.83203125" style="566" bestFit="1" customWidth="1"/>
    <col min="14597" max="14597" width="13.1640625" style="566" customWidth="1"/>
    <col min="14598" max="14599" width="13" style="566" bestFit="1" customWidth="1"/>
    <col min="14600" max="14600" width="12.83203125" style="566" customWidth="1"/>
    <col min="14601" max="14601" width="11.83203125" style="566" bestFit="1" customWidth="1"/>
    <col min="14602" max="14602" width="14.83203125" style="566" bestFit="1" customWidth="1"/>
    <col min="14603" max="14848" width="12.5" style="566"/>
    <col min="14849" max="14849" width="34" style="566" bestFit="1" customWidth="1"/>
    <col min="14850" max="14850" width="13" style="566" bestFit="1" customWidth="1"/>
    <col min="14851" max="14852" width="14.83203125" style="566" bestFit="1" customWidth="1"/>
    <col min="14853" max="14853" width="13.1640625" style="566" customWidth="1"/>
    <col min="14854" max="14855" width="13" style="566" bestFit="1" customWidth="1"/>
    <col min="14856" max="14856" width="12.83203125" style="566" customWidth="1"/>
    <col min="14857" max="14857" width="11.83203125" style="566" bestFit="1" customWidth="1"/>
    <col min="14858" max="14858" width="14.83203125" style="566" bestFit="1" customWidth="1"/>
    <col min="14859" max="15104" width="12.5" style="566"/>
    <col min="15105" max="15105" width="34" style="566" bestFit="1" customWidth="1"/>
    <col min="15106" max="15106" width="13" style="566" bestFit="1" customWidth="1"/>
    <col min="15107" max="15108" width="14.83203125" style="566" bestFit="1" customWidth="1"/>
    <col min="15109" max="15109" width="13.1640625" style="566" customWidth="1"/>
    <col min="15110" max="15111" width="13" style="566" bestFit="1" customWidth="1"/>
    <col min="15112" max="15112" width="12.83203125" style="566" customWidth="1"/>
    <col min="15113" max="15113" width="11.83203125" style="566" bestFit="1" customWidth="1"/>
    <col min="15114" max="15114" width="14.83203125" style="566" bestFit="1" customWidth="1"/>
    <col min="15115" max="15360" width="12.5" style="566"/>
    <col min="15361" max="15361" width="34" style="566" bestFit="1" customWidth="1"/>
    <col min="15362" max="15362" width="13" style="566" bestFit="1" customWidth="1"/>
    <col min="15363" max="15364" width="14.83203125" style="566" bestFit="1" customWidth="1"/>
    <col min="15365" max="15365" width="13.1640625" style="566" customWidth="1"/>
    <col min="15366" max="15367" width="13" style="566" bestFit="1" customWidth="1"/>
    <col min="15368" max="15368" width="12.83203125" style="566" customWidth="1"/>
    <col min="15369" max="15369" width="11.83203125" style="566" bestFit="1" customWidth="1"/>
    <col min="15370" max="15370" width="14.83203125" style="566" bestFit="1" customWidth="1"/>
    <col min="15371" max="15616" width="12.5" style="566"/>
    <col min="15617" max="15617" width="34" style="566" bestFit="1" customWidth="1"/>
    <col min="15618" max="15618" width="13" style="566" bestFit="1" customWidth="1"/>
    <col min="15619" max="15620" width="14.83203125" style="566" bestFit="1" customWidth="1"/>
    <col min="15621" max="15621" width="13.1640625" style="566" customWidth="1"/>
    <col min="15622" max="15623" width="13" style="566" bestFit="1" customWidth="1"/>
    <col min="15624" max="15624" width="12.83203125" style="566" customWidth="1"/>
    <col min="15625" max="15625" width="11.83203125" style="566" bestFit="1" customWidth="1"/>
    <col min="15626" max="15626" width="14.83203125" style="566" bestFit="1" customWidth="1"/>
    <col min="15627" max="15872" width="12.5" style="566"/>
    <col min="15873" max="15873" width="34" style="566" bestFit="1" customWidth="1"/>
    <col min="15874" max="15874" width="13" style="566" bestFit="1" customWidth="1"/>
    <col min="15875" max="15876" width="14.83203125" style="566" bestFit="1" customWidth="1"/>
    <col min="15877" max="15877" width="13.1640625" style="566" customWidth="1"/>
    <col min="15878" max="15879" width="13" style="566" bestFit="1" customWidth="1"/>
    <col min="15880" max="15880" width="12.83203125" style="566" customWidth="1"/>
    <col min="15881" max="15881" width="11.83203125" style="566" bestFit="1" customWidth="1"/>
    <col min="15882" max="15882" width="14.83203125" style="566" bestFit="1" customWidth="1"/>
    <col min="15883" max="16128" width="12.5" style="566"/>
    <col min="16129" max="16129" width="34" style="566" bestFit="1" customWidth="1"/>
    <col min="16130" max="16130" width="13" style="566" bestFit="1" customWidth="1"/>
    <col min="16131" max="16132" width="14.83203125" style="566" bestFit="1" customWidth="1"/>
    <col min="16133" max="16133" width="13.1640625" style="566" customWidth="1"/>
    <col min="16134" max="16135" width="13" style="566" bestFit="1" customWidth="1"/>
    <col min="16136" max="16136" width="12.83203125" style="566" customWidth="1"/>
    <col min="16137" max="16137" width="11.83203125" style="566" bestFit="1" customWidth="1"/>
    <col min="16138" max="16138" width="14.83203125" style="566" bestFit="1" customWidth="1"/>
    <col min="16139" max="16384" width="12.5" style="566"/>
  </cols>
  <sheetData>
    <row r="1" spans="1:11" x14ac:dyDescent="0.2">
      <c r="A1" s="565"/>
      <c r="B1" s="565"/>
      <c r="C1" s="565"/>
      <c r="D1" s="565"/>
      <c r="E1" s="565"/>
      <c r="F1" s="565"/>
      <c r="H1" s="567"/>
      <c r="I1" s="567"/>
      <c r="J1" s="568"/>
    </row>
    <row r="2" spans="1:11" x14ac:dyDescent="0.2">
      <c r="A2" s="565"/>
      <c r="B2" s="565"/>
      <c r="C2" s="565"/>
      <c r="D2" s="565"/>
      <c r="E2" s="565"/>
      <c r="F2" s="565"/>
      <c r="G2" s="569"/>
      <c r="H2" s="569"/>
      <c r="I2" s="569"/>
      <c r="J2" s="570"/>
    </row>
    <row r="3" spans="1:11" x14ac:dyDescent="0.2">
      <c r="A3" s="565"/>
      <c r="B3" s="565"/>
      <c r="C3" s="565"/>
      <c r="D3" s="565"/>
      <c r="E3" s="565"/>
      <c r="F3" s="565"/>
      <c r="G3" s="569"/>
      <c r="H3" s="569"/>
      <c r="I3" s="569"/>
      <c r="J3" s="569"/>
    </row>
    <row r="4" spans="1:11" ht="19.5" x14ac:dyDescent="0.35">
      <c r="A4" s="571" t="s">
        <v>453</v>
      </c>
      <c r="B4" s="571"/>
      <c r="C4" s="571"/>
      <c r="D4" s="571"/>
      <c r="E4" s="571"/>
      <c r="F4" s="571"/>
      <c r="G4" s="571"/>
      <c r="H4" s="571"/>
      <c r="I4" s="571"/>
      <c r="J4" s="571"/>
    </row>
    <row r="5" spans="1:11" ht="19.5" x14ac:dyDescent="0.35">
      <c r="A5" s="571" t="s">
        <v>739</v>
      </c>
      <c r="B5" s="571"/>
      <c r="C5" s="571"/>
      <c r="D5" s="571"/>
      <c r="E5" s="571"/>
      <c r="F5" s="571"/>
      <c r="G5" s="571"/>
      <c r="H5" s="571"/>
      <c r="I5" s="571"/>
      <c r="J5" s="571"/>
    </row>
    <row r="6" spans="1:11" ht="13.5" thickBot="1" x14ac:dyDescent="0.25">
      <c r="A6" s="565"/>
      <c r="B6" s="565"/>
      <c r="C6" s="565"/>
      <c r="D6" s="565"/>
      <c r="E6" s="565"/>
      <c r="F6" s="565"/>
      <c r="G6" s="565"/>
      <c r="H6" s="565"/>
      <c r="I6" s="565"/>
      <c r="J6" s="572" t="s">
        <v>5</v>
      </c>
    </row>
    <row r="7" spans="1:11" ht="15.95" customHeight="1" x14ac:dyDescent="0.2">
      <c r="A7" s="1221" t="s">
        <v>2</v>
      </c>
      <c r="B7" s="1224" t="s">
        <v>454</v>
      </c>
      <c r="C7" s="1225"/>
      <c r="D7" s="1225"/>
      <c r="E7" s="1226" t="s">
        <v>740</v>
      </c>
      <c r="F7" s="1227"/>
      <c r="G7" s="1227"/>
      <c r="H7" s="1227"/>
      <c r="I7" s="1227"/>
      <c r="J7" s="1228"/>
    </row>
    <row r="8" spans="1:11" ht="15.95" customHeight="1" x14ac:dyDescent="0.2">
      <c r="A8" s="1222"/>
      <c r="B8" s="573" t="s">
        <v>455</v>
      </c>
      <c r="C8" s="573" t="s">
        <v>456</v>
      </c>
      <c r="D8" s="573" t="s">
        <v>457</v>
      </c>
      <c r="E8" s="573" t="s">
        <v>458</v>
      </c>
      <c r="F8" s="573" t="s">
        <v>459</v>
      </c>
      <c r="G8" s="573" t="s">
        <v>460</v>
      </c>
      <c r="H8" s="573" t="s">
        <v>461</v>
      </c>
      <c r="I8" s="573" t="s">
        <v>462</v>
      </c>
      <c r="J8" s="574" t="s">
        <v>457</v>
      </c>
    </row>
    <row r="9" spans="1:11" ht="15.95" customHeight="1" x14ac:dyDescent="0.2">
      <c r="A9" s="1223"/>
      <c r="B9" s="573" t="s">
        <v>463</v>
      </c>
      <c r="C9" s="573" t="s">
        <v>464</v>
      </c>
      <c r="D9" s="573" t="s">
        <v>465</v>
      </c>
      <c r="E9" s="573" t="s">
        <v>466</v>
      </c>
      <c r="F9" s="573" t="s">
        <v>467</v>
      </c>
      <c r="G9" s="573" t="s">
        <v>468</v>
      </c>
      <c r="H9" s="573" t="s">
        <v>469</v>
      </c>
      <c r="I9" s="573" t="s">
        <v>468</v>
      </c>
      <c r="J9" s="574" t="s">
        <v>470</v>
      </c>
    </row>
    <row r="10" spans="1:11" ht="15.95" customHeight="1" x14ac:dyDescent="0.2">
      <c r="A10" s="575" t="s">
        <v>471</v>
      </c>
      <c r="B10" s="876">
        <v>174100032</v>
      </c>
      <c r="C10" s="876">
        <f t="shared" ref="C10:C15" si="0">J10-B10</f>
        <v>133587210</v>
      </c>
      <c r="D10" s="889">
        <f t="shared" ref="D10:D14" si="1">SUM(B10:C10)</f>
        <v>307687242</v>
      </c>
      <c r="E10" s="876">
        <v>61703726</v>
      </c>
      <c r="F10" s="876">
        <v>14089304</v>
      </c>
      <c r="G10" s="876">
        <v>230665212</v>
      </c>
      <c r="H10" s="876"/>
      <c r="I10" s="876">
        <v>1229000</v>
      </c>
      <c r="J10" s="890">
        <f t="shared" ref="J10:J15" si="2">SUM(E10:I10)</f>
        <v>307687242</v>
      </c>
      <c r="K10" s="576"/>
    </row>
    <row r="11" spans="1:11" ht="15.95" customHeight="1" x14ac:dyDescent="0.2">
      <c r="A11" s="575" t="s">
        <v>0</v>
      </c>
      <c r="B11" s="876">
        <v>12280923</v>
      </c>
      <c r="C11" s="876">
        <f>J11-B11</f>
        <v>289157846</v>
      </c>
      <c r="D11" s="889">
        <f t="shared" si="1"/>
        <v>301438769</v>
      </c>
      <c r="E11" s="876">
        <v>187166011</v>
      </c>
      <c r="F11" s="876">
        <v>40197175</v>
      </c>
      <c r="G11" s="876">
        <v>71308603</v>
      </c>
      <c r="H11" s="876"/>
      <c r="I11" s="876">
        <v>2766980</v>
      </c>
      <c r="J11" s="890">
        <f t="shared" si="2"/>
        <v>301438769</v>
      </c>
      <c r="K11" s="577"/>
    </row>
    <row r="12" spans="1:11" ht="15.95" customHeight="1" x14ac:dyDescent="0.2">
      <c r="A12" s="575" t="s">
        <v>704</v>
      </c>
      <c r="B12" s="876">
        <v>13275287</v>
      </c>
      <c r="C12" s="876">
        <f t="shared" si="0"/>
        <v>84577606</v>
      </c>
      <c r="D12" s="889">
        <f t="shared" si="1"/>
        <v>97852893</v>
      </c>
      <c r="E12" s="876">
        <v>44090923</v>
      </c>
      <c r="F12" s="876">
        <v>8671204</v>
      </c>
      <c r="G12" s="876">
        <v>42412062</v>
      </c>
      <c r="H12" s="876"/>
      <c r="I12" s="876">
        <v>2678704</v>
      </c>
      <c r="J12" s="890">
        <f t="shared" si="2"/>
        <v>97852893</v>
      </c>
    </row>
    <row r="13" spans="1:11" s="576" customFormat="1" ht="18" customHeight="1" x14ac:dyDescent="0.2">
      <c r="A13" s="548" t="s">
        <v>671</v>
      </c>
      <c r="B13" s="877">
        <v>224494113</v>
      </c>
      <c r="C13" s="876">
        <f t="shared" si="0"/>
        <v>498171287</v>
      </c>
      <c r="D13" s="889">
        <f t="shared" si="1"/>
        <v>722665400</v>
      </c>
      <c r="E13" s="878">
        <v>432587281</v>
      </c>
      <c r="F13" s="878">
        <v>91161523</v>
      </c>
      <c r="G13" s="878">
        <v>186217978</v>
      </c>
      <c r="H13" s="878"/>
      <c r="I13" s="878">
        <v>12698618</v>
      </c>
      <c r="J13" s="890">
        <f t="shared" si="2"/>
        <v>722665400</v>
      </c>
    </row>
    <row r="14" spans="1:11" s="576" customFormat="1" ht="18" customHeight="1" x14ac:dyDescent="0.2">
      <c r="A14" s="548" t="s">
        <v>646</v>
      </c>
      <c r="B14" s="877">
        <v>944234</v>
      </c>
      <c r="C14" s="876">
        <f t="shared" si="0"/>
        <v>86651516</v>
      </c>
      <c r="D14" s="889">
        <f t="shared" si="1"/>
        <v>87595750</v>
      </c>
      <c r="E14" s="878">
        <v>58944411</v>
      </c>
      <c r="F14" s="878">
        <v>11728198</v>
      </c>
      <c r="G14" s="878">
        <v>15292331</v>
      </c>
      <c r="H14" s="878"/>
      <c r="I14" s="878">
        <v>1630810</v>
      </c>
      <c r="J14" s="890">
        <f t="shared" si="2"/>
        <v>87595750</v>
      </c>
    </row>
    <row r="15" spans="1:11" s="576" customFormat="1" ht="18" customHeight="1" x14ac:dyDescent="0.2">
      <c r="A15" s="548" t="s">
        <v>672</v>
      </c>
      <c r="B15" s="877">
        <v>14664530</v>
      </c>
      <c r="C15" s="876">
        <f t="shared" si="0"/>
        <v>229603245</v>
      </c>
      <c r="D15" s="889">
        <f t="shared" ref="D15" si="3">SUM(B15:C15)</f>
        <v>244267775</v>
      </c>
      <c r="E15" s="878">
        <v>139878591</v>
      </c>
      <c r="F15" s="878">
        <v>29776525</v>
      </c>
      <c r="G15" s="878">
        <v>45442679</v>
      </c>
      <c r="H15" s="878">
        <v>24250000</v>
      </c>
      <c r="I15" s="878">
        <v>4919980</v>
      </c>
      <c r="J15" s="890">
        <f t="shared" si="2"/>
        <v>244267775</v>
      </c>
    </row>
    <row r="16" spans="1:11" s="576" customFormat="1" ht="18" customHeight="1" thickBot="1" x14ac:dyDescent="0.25">
      <c r="A16" s="796" t="s">
        <v>473</v>
      </c>
      <c r="B16" s="797">
        <f t="shared" ref="B16:J16" si="4">SUM(B10:B15)</f>
        <v>439759119</v>
      </c>
      <c r="C16" s="797">
        <f t="shared" si="4"/>
        <v>1321748710</v>
      </c>
      <c r="D16" s="797">
        <f t="shared" si="4"/>
        <v>1761507829</v>
      </c>
      <c r="E16" s="797">
        <f t="shared" si="4"/>
        <v>924370943</v>
      </c>
      <c r="F16" s="797">
        <f t="shared" si="4"/>
        <v>195623929</v>
      </c>
      <c r="G16" s="797">
        <f t="shared" si="4"/>
        <v>591338865</v>
      </c>
      <c r="H16" s="797">
        <f t="shared" si="4"/>
        <v>24250000</v>
      </c>
      <c r="I16" s="797">
        <f t="shared" si="4"/>
        <v>25924092</v>
      </c>
      <c r="J16" s="798">
        <f t="shared" si="4"/>
        <v>1761507829</v>
      </c>
    </row>
    <row r="17" s="891" customFormat="1" ht="11.25" x14ac:dyDescent="0.2"/>
    <row r="18" s="891" customFormat="1" ht="11.25" x14ac:dyDescent="0.2"/>
    <row r="19" s="892" customFormat="1" x14ac:dyDescent="0.2"/>
    <row r="20" s="892" customFormat="1" x14ac:dyDescent="0.2"/>
    <row r="21" s="892" customFormat="1" x14ac:dyDescent="0.2"/>
    <row r="22" s="892" customFormat="1" x14ac:dyDescent="0.2"/>
    <row r="23" s="892" customFormat="1" x14ac:dyDescent="0.2"/>
    <row r="24" s="892" customFormat="1" x14ac:dyDescent="0.2"/>
    <row r="25" s="892" customFormat="1" x14ac:dyDescent="0.2"/>
    <row r="26" s="892" customFormat="1" x14ac:dyDescent="0.2"/>
    <row r="33" spans="10:10" x14ac:dyDescent="0.2">
      <c r="J33" s="578"/>
    </row>
  </sheetData>
  <mergeCells count="3">
    <mergeCell ref="A7:A9"/>
    <mergeCell ref="B7:D7"/>
    <mergeCell ref="E7:J7"/>
  </mergeCells>
  <pageMargins left="0.75" right="0.75" top="1" bottom="1" header="0.5" footer="0.5"/>
  <pageSetup paperSize="9" scale="91" fitToHeight="0" orientation="landscape" r:id="rId1"/>
  <headerFooter alignWithMargins="0">
    <oddHeader>&amp;R10. melléklet a .../......(.......)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Layout" zoomScaleNormal="100" workbookViewId="0">
      <selection activeCell="C32" sqref="C32"/>
    </sheetView>
  </sheetViews>
  <sheetFormatPr defaultColWidth="10.6640625" defaultRowHeight="12.75" x14ac:dyDescent="0.2"/>
  <cols>
    <col min="1" max="1" width="10" style="580" customWidth="1"/>
    <col min="2" max="2" width="37.33203125" style="580" customWidth="1"/>
    <col min="3" max="3" width="24.83203125" style="580" customWidth="1"/>
    <col min="4" max="4" width="22.6640625" style="580" customWidth="1"/>
    <col min="5" max="5" width="11.6640625" style="580" bestFit="1" customWidth="1"/>
    <col min="6" max="16384" width="10.6640625" style="580"/>
  </cols>
  <sheetData>
    <row r="1" spans="1:6" ht="15.75" x14ac:dyDescent="0.25">
      <c r="A1" s="579"/>
      <c r="B1" s="579"/>
      <c r="C1" s="579"/>
      <c r="D1" s="799"/>
    </row>
    <row r="2" spans="1:6" ht="15.75" x14ac:dyDescent="0.25">
      <c r="A2" s="579"/>
      <c r="B2" s="579"/>
      <c r="C2" s="579"/>
      <c r="D2" s="581"/>
    </row>
    <row r="3" spans="1:6" ht="15.75" x14ac:dyDescent="0.25">
      <c r="A3" s="579"/>
      <c r="B3" s="579"/>
      <c r="C3" s="579"/>
      <c r="D3" s="799"/>
    </row>
    <row r="4" spans="1:6" ht="15.75" x14ac:dyDescent="0.25">
      <c r="A4" s="579"/>
      <c r="B4" s="579"/>
      <c r="C4" s="579"/>
      <c r="D4" s="800"/>
    </row>
    <row r="5" spans="1:6" ht="15.75" x14ac:dyDescent="0.25">
      <c r="A5" s="579"/>
      <c r="B5" s="579"/>
      <c r="C5" s="579"/>
      <c r="D5" s="800"/>
    </row>
    <row r="6" spans="1:6" ht="15.75" x14ac:dyDescent="0.25">
      <c r="A6" s="579"/>
      <c r="B6" s="579"/>
      <c r="C6" s="579"/>
      <c r="D6" s="801"/>
    </row>
    <row r="7" spans="1:6" ht="19.5" x14ac:dyDescent="0.35">
      <c r="A7" s="582" t="s">
        <v>447</v>
      </c>
      <c r="B7" s="582"/>
      <c r="C7" s="582"/>
      <c r="D7" s="802"/>
    </row>
    <row r="8" spans="1:6" ht="19.5" x14ac:dyDescent="0.35">
      <c r="A8" s="582" t="s">
        <v>741</v>
      </c>
      <c r="B8" s="582"/>
      <c r="C8" s="582"/>
      <c r="D8" s="802"/>
    </row>
    <row r="9" spans="1:6" ht="19.5" x14ac:dyDescent="0.35">
      <c r="A9" s="582"/>
      <c r="B9" s="582"/>
      <c r="C9" s="582"/>
      <c r="D9" s="802"/>
    </row>
    <row r="10" spans="1:6" ht="19.5" x14ac:dyDescent="0.35">
      <c r="A10" s="582"/>
      <c r="B10" s="582"/>
      <c r="C10" s="582"/>
      <c r="D10" s="802"/>
    </row>
    <row r="11" spans="1:6" ht="19.5" x14ac:dyDescent="0.35">
      <c r="A11" s="582"/>
      <c r="B11" s="582"/>
      <c r="C11" s="582"/>
      <c r="D11" s="802"/>
    </row>
    <row r="12" spans="1:6" ht="19.5" x14ac:dyDescent="0.35">
      <c r="A12" s="582"/>
      <c r="B12" s="582"/>
      <c r="C12" s="582"/>
      <c r="D12" s="802"/>
    </row>
    <row r="13" spans="1:6" ht="16.5" thickBot="1" x14ac:dyDescent="0.3">
      <c r="A13" s="579"/>
      <c r="B13" s="579"/>
      <c r="C13" s="579"/>
      <c r="D13" s="803" t="s">
        <v>5</v>
      </c>
    </row>
    <row r="14" spans="1:6" s="586" customFormat="1" ht="33" customHeight="1" thickBot="1" x14ac:dyDescent="0.25">
      <c r="A14" s="583" t="s">
        <v>76</v>
      </c>
      <c r="B14" s="584"/>
      <c r="C14" s="585"/>
      <c r="D14" s="804" t="s">
        <v>69</v>
      </c>
    </row>
    <row r="15" spans="1:6" ht="16.5" thickBot="1" x14ac:dyDescent="0.3">
      <c r="A15" s="1020" t="s">
        <v>73</v>
      </c>
      <c r="B15" s="1021"/>
      <c r="C15" s="1022"/>
      <c r="D15" s="1023">
        <v>15000000</v>
      </c>
      <c r="E15" s="587"/>
      <c r="F15" s="588"/>
    </row>
    <row r="16" spans="1:6" ht="15.75" x14ac:dyDescent="0.25">
      <c r="A16" s="1014" t="s">
        <v>449</v>
      </c>
      <c r="B16" s="1024"/>
      <c r="C16" s="1025"/>
      <c r="D16" s="1026"/>
      <c r="E16" s="588"/>
      <c r="F16" s="588"/>
    </row>
    <row r="17" spans="1:6" x14ac:dyDescent="0.2">
      <c r="A17" s="807" t="s">
        <v>450</v>
      </c>
      <c r="B17" s="808"/>
      <c r="C17" s="1015"/>
      <c r="D17" s="805">
        <v>10000000</v>
      </c>
      <c r="E17" s="809"/>
      <c r="F17" s="806"/>
    </row>
    <row r="18" spans="1:6" x14ac:dyDescent="0.2">
      <c r="A18" s="807" t="s">
        <v>853</v>
      </c>
      <c r="B18" s="808"/>
      <c r="C18" s="1015"/>
      <c r="D18" s="805">
        <v>200000</v>
      </c>
      <c r="E18" s="809"/>
      <c r="F18" s="806"/>
    </row>
    <row r="19" spans="1:6" x14ac:dyDescent="0.2">
      <c r="A19" s="807" t="s">
        <v>640</v>
      </c>
      <c r="B19" s="808"/>
      <c r="C19" s="1015"/>
      <c r="D19" s="805">
        <v>4504494</v>
      </c>
      <c r="E19" s="809"/>
      <c r="F19" s="811"/>
    </row>
    <row r="20" spans="1:6" x14ac:dyDescent="0.2">
      <c r="A20" s="807" t="s">
        <v>705</v>
      </c>
      <c r="B20" s="808"/>
      <c r="C20" s="1015"/>
      <c r="D20" s="805">
        <v>2540590</v>
      </c>
      <c r="E20" s="809"/>
      <c r="F20" s="811"/>
    </row>
    <row r="21" spans="1:6" x14ac:dyDescent="0.2">
      <c r="A21" s="810" t="s">
        <v>474</v>
      </c>
      <c r="B21" s="808"/>
      <c r="C21" s="1015"/>
      <c r="D21" s="805">
        <v>36771408</v>
      </c>
      <c r="E21" s="809"/>
      <c r="F21" s="806"/>
    </row>
    <row r="22" spans="1:6" x14ac:dyDescent="0.2">
      <c r="A22" s="939" t="s">
        <v>6</v>
      </c>
      <c r="B22" s="940"/>
      <c r="C22" s="1015"/>
      <c r="D22" s="805">
        <v>400000</v>
      </c>
      <c r="E22" s="809"/>
      <c r="F22" s="806"/>
    </row>
    <row r="23" spans="1:6" x14ac:dyDescent="0.2">
      <c r="A23" s="939" t="s">
        <v>715</v>
      </c>
      <c r="B23" s="940"/>
      <c r="C23" s="1015"/>
      <c r="D23" s="805">
        <v>846565</v>
      </c>
      <c r="E23" s="809"/>
      <c r="F23" s="806"/>
    </row>
    <row r="24" spans="1:6" x14ac:dyDescent="0.2">
      <c r="A24" s="939" t="s">
        <v>718</v>
      </c>
      <c r="B24" s="940"/>
      <c r="C24" s="1015"/>
      <c r="D24" s="805">
        <v>6083465</v>
      </c>
      <c r="E24" s="809"/>
      <c r="F24" s="806"/>
    </row>
    <row r="25" spans="1:6" x14ac:dyDescent="0.2">
      <c r="A25" s="939" t="s">
        <v>852</v>
      </c>
      <c r="B25" s="940"/>
      <c r="C25" s="1015"/>
      <c r="D25" s="805">
        <v>4500000</v>
      </c>
      <c r="E25" s="809"/>
      <c r="F25" s="806"/>
    </row>
    <row r="26" spans="1:6" ht="16.5" thickBot="1" x14ac:dyDescent="0.3">
      <c r="A26" s="1016" t="s">
        <v>451</v>
      </c>
      <c r="B26" s="1017"/>
      <c r="C26" s="1018"/>
      <c r="D26" s="1019">
        <f>SUM(D17:D25)</f>
        <v>65846522</v>
      </c>
    </row>
    <row r="27" spans="1:6" ht="16.5" thickBot="1" x14ac:dyDescent="0.3">
      <c r="A27" s="1027"/>
      <c r="B27" s="1028"/>
      <c r="C27" s="1029"/>
      <c r="D27" s="1029"/>
    </row>
    <row r="28" spans="1:6" ht="16.5" thickBot="1" x14ac:dyDescent="0.3">
      <c r="A28" s="1020" t="s">
        <v>452</v>
      </c>
      <c r="B28" s="1021"/>
      <c r="C28" s="1022"/>
      <c r="D28" s="1023">
        <f>SUM(D15,D26)</f>
        <v>80846522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&amp;R11. melléklet  a ../......(.......)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00" zoomScaleSheetLayoutView="100" workbookViewId="0">
      <selection activeCell="C41" sqref="C41"/>
    </sheetView>
  </sheetViews>
  <sheetFormatPr defaultRowHeight="15.75" x14ac:dyDescent="0.25"/>
  <cols>
    <col min="1" max="1" width="9.5" style="305" customWidth="1"/>
    <col min="2" max="2" width="91.6640625" style="305" customWidth="1"/>
    <col min="3" max="3" width="21.6640625" style="306" customWidth="1"/>
    <col min="4" max="16384" width="9.33203125" style="316"/>
  </cols>
  <sheetData>
    <row r="1" spans="1:3" ht="15.95" customHeight="1" x14ac:dyDescent="0.25">
      <c r="A1" s="1171" t="s">
        <v>28</v>
      </c>
      <c r="B1" s="1171"/>
      <c r="C1" s="1171"/>
    </row>
    <row r="2" spans="1:3" ht="15.95" customHeight="1" thickBot="1" x14ac:dyDescent="0.3">
      <c r="A2" s="1170" t="s">
        <v>161</v>
      </c>
      <c r="B2" s="1170"/>
      <c r="C2" s="242" t="s">
        <v>688</v>
      </c>
    </row>
    <row r="3" spans="1:3" ht="38.1" customHeight="1" thickBot="1" x14ac:dyDescent="0.3">
      <c r="A3" s="22" t="s">
        <v>84</v>
      </c>
      <c r="B3" s="23" t="s">
        <v>30</v>
      </c>
      <c r="C3" s="37" t="s">
        <v>729</v>
      </c>
    </row>
    <row r="4" spans="1:3" s="317" customFormat="1" ht="12" customHeight="1" thickBot="1" x14ac:dyDescent="0.25">
      <c r="A4" s="311" t="s">
        <v>546</v>
      </c>
      <c r="B4" s="312" t="s">
        <v>547</v>
      </c>
      <c r="C4" s="313" t="s">
        <v>548</v>
      </c>
    </row>
    <row r="5" spans="1:3" s="318" customFormat="1" ht="12" customHeight="1" thickBot="1" x14ac:dyDescent="0.25">
      <c r="A5" s="19" t="s">
        <v>31</v>
      </c>
      <c r="B5" s="20" t="s">
        <v>260</v>
      </c>
      <c r="C5" s="233">
        <f>+C6+C7+C8+C9+C10+C11</f>
        <v>0</v>
      </c>
    </row>
    <row r="6" spans="1:3" s="318" customFormat="1" ht="12" customHeight="1" x14ac:dyDescent="0.2">
      <c r="A6" s="14" t="s">
        <v>114</v>
      </c>
      <c r="B6" s="319" t="s">
        <v>261</v>
      </c>
      <c r="C6" s="235"/>
    </row>
    <row r="7" spans="1:3" s="318" customFormat="1" ht="12" customHeight="1" x14ac:dyDescent="0.2">
      <c r="A7" s="13" t="s">
        <v>115</v>
      </c>
      <c r="B7" s="320" t="s">
        <v>262</v>
      </c>
      <c r="C7" s="234"/>
    </row>
    <row r="8" spans="1:3" s="318" customFormat="1" ht="12" customHeight="1" x14ac:dyDescent="0.2">
      <c r="A8" s="13" t="s">
        <v>116</v>
      </c>
      <c r="B8" s="320" t="s">
        <v>668</v>
      </c>
      <c r="C8" s="234"/>
    </row>
    <row r="9" spans="1:3" s="318" customFormat="1" ht="12" customHeight="1" x14ac:dyDescent="0.2">
      <c r="A9" s="13" t="s">
        <v>117</v>
      </c>
      <c r="B9" s="320" t="s">
        <v>264</v>
      </c>
      <c r="C9" s="234"/>
    </row>
    <row r="10" spans="1:3" s="318" customFormat="1" ht="12" customHeight="1" x14ac:dyDescent="0.2">
      <c r="A10" s="13" t="s">
        <v>158</v>
      </c>
      <c r="B10" s="229" t="s">
        <v>549</v>
      </c>
      <c r="C10" s="234"/>
    </row>
    <row r="11" spans="1:3" s="318" customFormat="1" ht="12" customHeight="1" thickBot="1" x14ac:dyDescent="0.25">
      <c r="A11" s="15" t="s">
        <v>118</v>
      </c>
      <c r="B11" s="230" t="s">
        <v>550</v>
      </c>
      <c r="C11" s="234"/>
    </row>
    <row r="12" spans="1:3" s="318" customFormat="1" ht="12" customHeight="1" thickBot="1" x14ac:dyDescent="0.25">
      <c r="A12" s="19" t="s">
        <v>32</v>
      </c>
      <c r="B12" s="228" t="s">
        <v>265</v>
      </c>
      <c r="C12" s="233">
        <f>+C13+C14+C15+C16+C17</f>
        <v>0</v>
      </c>
    </row>
    <row r="13" spans="1:3" s="318" customFormat="1" ht="12" customHeight="1" x14ac:dyDescent="0.2">
      <c r="A13" s="14" t="s">
        <v>120</v>
      </c>
      <c r="B13" s="319" t="s">
        <v>266</v>
      </c>
      <c r="C13" s="235"/>
    </row>
    <row r="14" spans="1:3" s="318" customFormat="1" ht="12" customHeight="1" x14ac:dyDescent="0.2">
      <c r="A14" s="13" t="s">
        <v>121</v>
      </c>
      <c r="B14" s="320" t="s">
        <v>267</v>
      </c>
      <c r="C14" s="234"/>
    </row>
    <row r="15" spans="1:3" s="318" customFormat="1" ht="12" customHeight="1" x14ac:dyDescent="0.2">
      <c r="A15" s="13" t="s">
        <v>122</v>
      </c>
      <c r="B15" s="320" t="s">
        <v>436</v>
      </c>
      <c r="C15" s="234"/>
    </row>
    <row r="16" spans="1:3" s="318" customFormat="1" ht="12" customHeight="1" x14ac:dyDescent="0.2">
      <c r="A16" s="13" t="s">
        <v>123</v>
      </c>
      <c r="B16" s="320" t="s">
        <v>437</v>
      </c>
      <c r="C16" s="234"/>
    </row>
    <row r="17" spans="1:3" s="318" customFormat="1" ht="12" customHeight="1" x14ac:dyDescent="0.2">
      <c r="A17" s="13" t="s">
        <v>124</v>
      </c>
      <c r="B17" s="320" t="s">
        <v>268</v>
      </c>
      <c r="C17" s="234"/>
    </row>
    <row r="18" spans="1:3" s="318" customFormat="1" ht="12" customHeight="1" thickBot="1" x14ac:dyDescent="0.25">
      <c r="A18" s="15" t="s">
        <v>133</v>
      </c>
      <c r="B18" s="230" t="s">
        <v>269</v>
      </c>
      <c r="C18" s="236"/>
    </row>
    <row r="19" spans="1:3" s="318" customFormat="1" ht="12" customHeight="1" thickBot="1" x14ac:dyDescent="0.25">
      <c r="A19" s="19" t="s">
        <v>33</v>
      </c>
      <c r="B19" s="20" t="s">
        <v>270</v>
      </c>
      <c r="C19" s="233">
        <f>+C20+C21+C22+C23+C24</f>
        <v>0</v>
      </c>
    </row>
    <row r="20" spans="1:3" s="318" customFormat="1" ht="12" customHeight="1" x14ac:dyDescent="0.2">
      <c r="A20" s="14" t="s">
        <v>103</v>
      </c>
      <c r="B20" s="319" t="s">
        <v>271</v>
      </c>
      <c r="C20" s="235"/>
    </row>
    <row r="21" spans="1:3" s="318" customFormat="1" ht="12" customHeight="1" x14ac:dyDescent="0.2">
      <c r="A21" s="13" t="s">
        <v>104</v>
      </c>
      <c r="B21" s="320" t="s">
        <v>272</v>
      </c>
      <c r="C21" s="234"/>
    </row>
    <row r="22" spans="1:3" s="318" customFormat="1" ht="12" customHeight="1" x14ac:dyDescent="0.2">
      <c r="A22" s="13" t="s">
        <v>105</v>
      </c>
      <c r="B22" s="320" t="s">
        <v>438</v>
      </c>
      <c r="C22" s="234"/>
    </row>
    <row r="23" spans="1:3" s="318" customFormat="1" ht="12" customHeight="1" x14ac:dyDescent="0.2">
      <c r="A23" s="13" t="s">
        <v>106</v>
      </c>
      <c r="B23" s="320" t="s">
        <v>439</v>
      </c>
      <c r="C23" s="234"/>
    </row>
    <row r="24" spans="1:3" s="318" customFormat="1" ht="12" customHeight="1" x14ac:dyDescent="0.2">
      <c r="A24" s="13" t="s">
        <v>178</v>
      </c>
      <c r="B24" s="320" t="s">
        <v>273</v>
      </c>
      <c r="C24" s="234"/>
    </row>
    <row r="25" spans="1:3" s="318" customFormat="1" ht="12" customHeight="1" thickBot="1" x14ac:dyDescent="0.25">
      <c r="A25" s="15" t="s">
        <v>179</v>
      </c>
      <c r="B25" s="321" t="s">
        <v>274</v>
      </c>
      <c r="C25" s="236"/>
    </row>
    <row r="26" spans="1:3" s="318" customFormat="1" ht="12" customHeight="1" thickBot="1" x14ac:dyDescent="0.25">
      <c r="A26" s="19" t="s">
        <v>180</v>
      </c>
      <c r="B26" s="20" t="s">
        <v>275</v>
      </c>
      <c r="C26" s="238">
        <f>+C27+C31+C32+C33</f>
        <v>0</v>
      </c>
    </row>
    <row r="27" spans="1:3" s="318" customFormat="1" ht="12" customHeight="1" x14ac:dyDescent="0.2">
      <c r="A27" s="14" t="s">
        <v>276</v>
      </c>
      <c r="B27" s="319" t="s">
        <v>551</v>
      </c>
      <c r="C27" s="314">
        <f>+C28+C29+C30</f>
        <v>0</v>
      </c>
    </row>
    <row r="28" spans="1:3" s="318" customFormat="1" ht="12" customHeight="1" x14ac:dyDescent="0.2">
      <c r="A28" s="13" t="s">
        <v>277</v>
      </c>
      <c r="B28" s="320" t="s">
        <v>282</v>
      </c>
      <c r="C28" s="234"/>
    </row>
    <row r="29" spans="1:3" s="318" customFormat="1" ht="12" customHeight="1" x14ac:dyDescent="0.2">
      <c r="A29" s="13" t="s">
        <v>278</v>
      </c>
      <c r="B29" s="320" t="s">
        <v>283</v>
      </c>
      <c r="C29" s="234"/>
    </row>
    <row r="30" spans="1:3" s="318" customFormat="1" ht="12" customHeight="1" x14ac:dyDescent="0.2">
      <c r="A30" s="13" t="s">
        <v>552</v>
      </c>
      <c r="B30" s="391" t="s">
        <v>553</v>
      </c>
      <c r="C30" s="234"/>
    </row>
    <row r="31" spans="1:3" s="318" customFormat="1" ht="12" customHeight="1" x14ac:dyDescent="0.2">
      <c r="A31" s="13" t="s">
        <v>279</v>
      </c>
      <c r="B31" s="320" t="s">
        <v>284</v>
      </c>
      <c r="C31" s="234"/>
    </row>
    <row r="32" spans="1:3" s="318" customFormat="1" ht="12" customHeight="1" x14ac:dyDescent="0.2">
      <c r="A32" s="13" t="s">
        <v>280</v>
      </c>
      <c r="B32" s="320" t="s">
        <v>285</v>
      </c>
      <c r="C32" s="234"/>
    </row>
    <row r="33" spans="1:3" s="318" customFormat="1" ht="12" customHeight="1" thickBot="1" x14ac:dyDescent="0.25">
      <c r="A33" s="15" t="s">
        <v>281</v>
      </c>
      <c r="B33" s="321" t="s">
        <v>286</v>
      </c>
      <c r="C33" s="236"/>
    </row>
    <row r="34" spans="1:3" s="318" customFormat="1" ht="12" customHeight="1" thickBot="1" x14ac:dyDescent="0.25">
      <c r="A34" s="19" t="s">
        <v>35</v>
      </c>
      <c r="B34" s="20" t="s">
        <v>554</v>
      </c>
      <c r="C34" s="233">
        <f>SUM(C35:C45)</f>
        <v>5779000</v>
      </c>
    </row>
    <row r="35" spans="1:3" s="318" customFormat="1" ht="12" customHeight="1" x14ac:dyDescent="0.2">
      <c r="A35" s="14" t="s">
        <v>107</v>
      </c>
      <c r="B35" s="319" t="s">
        <v>289</v>
      </c>
      <c r="C35" s="235"/>
    </row>
    <row r="36" spans="1:3" s="318" customFormat="1" ht="12" customHeight="1" x14ac:dyDescent="0.2">
      <c r="A36" s="13" t="s">
        <v>108</v>
      </c>
      <c r="B36" s="320" t="s">
        <v>290</v>
      </c>
      <c r="C36" s="237">
        <v>4150000</v>
      </c>
    </row>
    <row r="37" spans="1:3" s="318" customFormat="1" ht="12" customHeight="1" x14ac:dyDescent="0.2">
      <c r="A37" s="13" t="s">
        <v>109</v>
      </c>
      <c r="B37" s="320" t="s">
        <v>291</v>
      </c>
      <c r="C37" s="237">
        <v>300000</v>
      </c>
    </row>
    <row r="38" spans="1:3" s="318" customFormat="1" ht="12" customHeight="1" x14ac:dyDescent="0.2">
      <c r="A38" s="13" t="s">
        <v>182</v>
      </c>
      <c r="B38" s="320" t="s">
        <v>292</v>
      </c>
      <c r="C38" s="237"/>
    </row>
    <row r="39" spans="1:3" s="318" customFormat="1" ht="12" customHeight="1" x14ac:dyDescent="0.2">
      <c r="A39" s="13" t="s">
        <v>183</v>
      </c>
      <c r="B39" s="320" t="s">
        <v>293</v>
      </c>
      <c r="C39" s="237"/>
    </row>
    <row r="40" spans="1:3" s="318" customFormat="1" ht="12" customHeight="1" x14ac:dyDescent="0.2">
      <c r="A40" s="13" t="s">
        <v>184</v>
      </c>
      <c r="B40" s="320" t="s">
        <v>294</v>
      </c>
      <c r="C40" s="237">
        <v>1229000</v>
      </c>
    </row>
    <row r="41" spans="1:3" s="318" customFormat="1" ht="12" customHeight="1" x14ac:dyDescent="0.2">
      <c r="A41" s="13" t="s">
        <v>185</v>
      </c>
      <c r="B41" s="320" t="s">
        <v>295</v>
      </c>
      <c r="C41" s="237"/>
    </row>
    <row r="42" spans="1:3" s="318" customFormat="1" ht="12" customHeight="1" x14ac:dyDescent="0.2">
      <c r="A42" s="13" t="s">
        <v>186</v>
      </c>
      <c r="B42" s="320" t="s">
        <v>665</v>
      </c>
      <c r="C42" s="237"/>
    </row>
    <row r="43" spans="1:3" s="318" customFormat="1" ht="12" customHeight="1" x14ac:dyDescent="0.2">
      <c r="A43" s="13" t="s">
        <v>287</v>
      </c>
      <c r="B43" s="320" t="s">
        <v>297</v>
      </c>
      <c r="C43" s="237"/>
    </row>
    <row r="44" spans="1:3" s="318" customFormat="1" ht="12" customHeight="1" x14ac:dyDescent="0.2">
      <c r="A44" s="15" t="s">
        <v>288</v>
      </c>
      <c r="B44" s="321" t="s">
        <v>555</v>
      </c>
      <c r="C44" s="308"/>
    </row>
    <row r="45" spans="1:3" s="318" customFormat="1" ht="12" customHeight="1" thickBot="1" x14ac:dyDescent="0.25">
      <c r="A45" s="15" t="s">
        <v>556</v>
      </c>
      <c r="B45" s="230" t="s">
        <v>298</v>
      </c>
      <c r="C45" s="308">
        <v>100000</v>
      </c>
    </row>
    <row r="46" spans="1:3" s="318" customFormat="1" ht="12" customHeight="1" thickBot="1" x14ac:dyDescent="0.25">
      <c r="A46" s="19" t="s">
        <v>36</v>
      </c>
      <c r="B46" s="20" t="s">
        <v>299</v>
      </c>
      <c r="C46" s="233">
        <f>SUM(C47:C51)</f>
        <v>0</v>
      </c>
    </row>
    <row r="47" spans="1:3" s="318" customFormat="1" ht="12" customHeight="1" x14ac:dyDescent="0.2">
      <c r="A47" s="14" t="s">
        <v>110</v>
      </c>
      <c r="B47" s="319" t="s">
        <v>303</v>
      </c>
      <c r="C47" s="357"/>
    </row>
    <row r="48" spans="1:3" s="318" customFormat="1" ht="12" customHeight="1" x14ac:dyDescent="0.2">
      <c r="A48" s="13" t="s">
        <v>111</v>
      </c>
      <c r="B48" s="320" t="s">
        <v>304</v>
      </c>
      <c r="C48" s="237"/>
    </row>
    <row r="49" spans="1:3" s="318" customFormat="1" ht="12" customHeight="1" x14ac:dyDescent="0.2">
      <c r="A49" s="13" t="s">
        <v>300</v>
      </c>
      <c r="B49" s="320" t="s">
        <v>305</v>
      </c>
      <c r="C49" s="237"/>
    </row>
    <row r="50" spans="1:3" s="318" customFormat="1" ht="12" customHeight="1" x14ac:dyDescent="0.2">
      <c r="A50" s="13" t="s">
        <v>301</v>
      </c>
      <c r="B50" s="320" t="s">
        <v>306</v>
      </c>
      <c r="C50" s="237"/>
    </row>
    <row r="51" spans="1:3" s="318" customFormat="1" ht="12" customHeight="1" thickBot="1" x14ac:dyDescent="0.25">
      <c r="A51" s="15" t="s">
        <v>302</v>
      </c>
      <c r="B51" s="230" t="s">
        <v>307</v>
      </c>
      <c r="C51" s="308"/>
    </row>
    <row r="52" spans="1:3" s="318" customFormat="1" ht="12" customHeight="1" thickBot="1" x14ac:dyDescent="0.25">
      <c r="A52" s="19" t="s">
        <v>187</v>
      </c>
      <c r="B52" s="20" t="s">
        <v>308</v>
      </c>
      <c r="C52" s="233">
        <f>SUM(C53:C55)</f>
        <v>0</v>
      </c>
    </row>
    <row r="53" spans="1:3" s="318" customFormat="1" ht="12" customHeight="1" x14ac:dyDescent="0.2">
      <c r="A53" s="14" t="s">
        <v>112</v>
      </c>
      <c r="B53" s="319" t="s">
        <v>309</v>
      </c>
      <c r="C53" s="235"/>
    </row>
    <row r="54" spans="1:3" s="318" customFormat="1" ht="12" customHeight="1" x14ac:dyDescent="0.2">
      <c r="A54" s="13" t="s">
        <v>113</v>
      </c>
      <c r="B54" s="320" t="s">
        <v>440</v>
      </c>
      <c r="C54" s="234"/>
    </row>
    <row r="55" spans="1:3" s="318" customFormat="1" ht="12" customHeight="1" x14ac:dyDescent="0.2">
      <c r="A55" s="13" t="s">
        <v>312</v>
      </c>
      <c r="B55" s="320" t="s">
        <v>310</v>
      </c>
      <c r="C55" s="234"/>
    </row>
    <row r="56" spans="1:3" s="318" customFormat="1" ht="12" customHeight="1" thickBot="1" x14ac:dyDescent="0.25">
      <c r="A56" s="15" t="s">
        <v>313</v>
      </c>
      <c r="B56" s="230" t="s">
        <v>311</v>
      </c>
      <c r="C56" s="236"/>
    </row>
    <row r="57" spans="1:3" s="318" customFormat="1" ht="12" customHeight="1" thickBot="1" x14ac:dyDescent="0.25">
      <c r="A57" s="19" t="s">
        <v>38</v>
      </c>
      <c r="B57" s="228" t="s">
        <v>314</v>
      </c>
      <c r="C57" s="233">
        <f>SUM(C58:C60)</f>
        <v>0</v>
      </c>
    </row>
    <row r="58" spans="1:3" s="318" customFormat="1" ht="12" customHeight="1" x14ac:dyDescent="0.2">
      <c r="A58" s="14" t="s">
        <v>188</v>
      </c>
      <c r="B58" s="319" t="s">
        <v>316</v>
      </c>
      <c r="C58" s="237"/>
    </row>
    <row r="59" spans="1:3" s="318" customFormat="1" ht="12" customHeight="1" x14ac:dyDescent="0.2">
      <c r="A59" s="13" t="s">
        <v>189</v>
      </c>
      <c r="B59" s="320" t="s">
        <v>441</v>
      </c>
      <c r="C59" s="237"/>
    </row>
    <row r="60" spans="1:3" s="318" customFormat="1" ht="12" customHeight="1" x14ac:dyDescent="0.2">
      <c r="A60" s="13" t="s">
        <v>237</v>
      </c>
      <c r="B60" s="320" t="s">
        <v>317</v>
      </c>
      <c r="C60" s="237"/>
    </row>
    <row r="61" spans="1:3" s="318" customFormat="1" ht="12" customHeight="1" thickBot="1" x14ac:dyDescent="0.25">
      <c r="A61" s="15" t="s">
        <v>315</v>
      </c>
      <c r="B61" s="230" t="s">
        <v>318</v>
      </c>
      <c r="C61" s="237"/>
    </row>
    <row r="62" spans="1:3" s="318" customFormat="1" ht="12" customHeight="1" thickBot="1" x14ac:dyDescent="0.25">
      <c r="A62" s="392" t="s">
        <v>557</v>
      </c>
      <c r="B62" s="20" t="s">
        <v>319</v>
      </c>
      <c r="C62" s="238">
        <f>+C5+C12+C19+C26+C34+C46+C52+C57</f>
        <v>5779000</v>
      </c>
    </row>
    <row r="63" spans="1:3" s="318" customFormat="1" ht="12" customHeight="1" thickBot="1" x14ac:dyDescent="0.25">
      <c r="A63" s="393" t="s">
        <v>320</v>
      </c>
      <c r="B63" s="228" t="s">
        <v>321</v>
      </c>
      <c r="C63" s="233">
        <f>SUM(C64:C66)</f>
        <v>0</v>
      </c>
    </row>
    <row r="64" spans="1:3" s="318" customFormat="1" ht="12" customHeight="1" x14ac:dyDescent="0.2">
      <c r="A64" s="14" t="s">
        <v>352</v>
      </c>
      <c r="B64" s="319" t="s">
        <v>322</v>
      </c>
      <c r="C64" s="237"/>
    </row>
    <row r="65" spans="1:3" s="318" customFormat="1" ht="12" customHeight="1" x14ac:dyDescent="0.2">
      <c r="A65" s="13" t="s">
        <v>361</v>
      </c>
      <c r="B65" s="320" t="s">
        <v>323</v>
      </c>
      <c r="C65" s="237"/>
    </row>
    <row r="66" spans="1:3" s="318" customFormat="1" ht="12" customHeight="1" thickBot="1" x14ac:dyDescent="0.25">
      <c r="A66" s="15" t="s">
        <v>362</v>
      </c>
      <c r="B66" s="394" t="s">
        <v>558</v>
      </c>
      <c r="C66" s="237"/>
    </row>
    <row r="67" spans="1:3" s="318" customFormat="1" ht="12" customHeight="1" thickBot="1" x14ac:dyDescent="0.25">
      <c r="A67" s="393" t="s">
        <v>325</v>
      </c>
      <c r="B67" s="228" t="s">
        <v>326</v>
      </c>
      <c r="C67" s="233">
        <f>SUM(C68:C71)</f>
        <v>0</v>
      </c>
    </row>
    <row r="68" spans="1:3" s="318" customFormat="1" ht="12" customHeight="1" x14ac:dyDescent="0.2">
      <c r="A68" s="14" t="s">
        <v>159</v>
      </c>
      <c r="B68" s="319" t="s">
        <v>327</v>
      </c>
      <c r="C68" s="237"/>
    </row>
    <row r="69" spans="1:3" s="318" customFormat="1" ht="12" customHeight="1" x14ac:dyDescent="0.2">
      <c r="A69" s="13" t="s">
        <v>160</v>
      </c>
      <c r="B69" s="320" t="s">
        <v>328</v>
      </c>
      <c r="C69" s="237"/>
    </row>
    <row r="70" spans="1:3" s="318" customFormat="1" ht="12" customHeight="1" x14ac:dyDescent="0.2">
      <c r="A70" s="13" t="s">
        <v>353</v>
      </c>
      <c r="B70" s="320" t="s">
        <v>329</v>
      </c>
      <c r="C70" s="237"/>
    </row>
    <row r="71" spans="1:3" s="318" customFormat="1" ht="12" customHeight="1" thickBot="1" x14ac:dyDescent="0.25">
      <c r="A71" s="15" t="s">
        <v>354</v>
      </c>
      <c r="B71" s="230" t="s">
        <v>330</v>
      </c>
      <c r="C71" s="237"/>
    </row>
    <row r="72" spans="1:3" s="318" customFormat="1" ht="12" customHeight="1" thickBot="1" x14ac:dyDescent="0.25">
      <c r="A72" s="393" t="s">
        <v>331</v>
      </c>
      <c r="B72" s="228" t="s">
        <v>332</v>
      </c>
      <c r="C72" s="233">
        <f>SUM(C73:C74)</f>
        <v>0</v>
      </c>
    </row>
    <row r="73" spans="1:3" s="318" customFormat="1" ht="12" customHeight="1" x14ac:dyDescent="0.2">
      <c r="A73" s="14" t="s">
        <v>355</v>
      </c>
      <c r="B73" s="319" t="s">
        <v>333</v>
      </c>
      <c r="C73" s="237"/>
    </row>
    <row r="74" spans="1:3" s="318" customFormat="1" ht="12" customHeight="1" thickBot="1" x14ac:dyDescent="0.25">
      <c r="A74" s="15" t="s">
        <v>356</v>
      </c>
      <c r="B74" s="230" t="s">
        <v>334</v>
      </c>
      <c r="C74" s="237"/>
    </row>
    <row r="75" spans="1:3" s="318" customFormat="1" ht="12" customHeight="1" thickBot="1" x14ac:dyDescent="0.25">
      <c r="A75" s="393" t="s">
        <v>335</v>
      </c>
      <c r="B75" s="228" t="s">
        <v>336</v>
      </c>
      <c r="C75" s="233">
        <f>SUM(C76:C78)</f>
        <v>0</v>
      </c>
    </row>
    <row r="76" spans="1:3" s="318" customFormat="1" ht="12" customHeight="1" x14ac:dyDescent="0.2">
      <c r="A76" s="14" t="s">
        <v>357</v>
      </c>
      <c r="B76" s="319" t="s">
        <v>337</v>
      </c>
      <c r="C76" s="237"/>
    </row>
    <row r="77" spans="1:3" s="318" customFormat="1" ht="12" customHeight="1" x14ac:dyDescent="0.2">
      <c r="A77" s="13" t="s">
        <v>358</v>
      </c>
      <c r="B77" s="320" t="s">
        <v>338</v>
      </c>
      <c r="C77" s="237"/>
    </row>
    <row r="78" spans="1:3" s="318" customFormat="1" ht="12" customHeight="1" thickBot="1" x14ac:dyDescent="0.25">
      <c r="A78" s="15" t="s">
        <v>359</v>
      </c>
      <c r="B78" s="230" t="s">
        <v>339</v>
      </c>
      <c r="C78" s="237"/>
    </row>
    <row r="79" spans="1:3" s="318" customFormat="1" ht="12" customHeight="1" thickBot="1" x14ac:dyDescent="0.25">
      <c r="A79" s="393" t="s">
        <v>340</v>
      </c>
      <c r="B79" s="228" t="s">
        <v>360</v>
      </c>
      <c r="C79" s="233">
        <f>SUM(C80:C83)</f>
        <v>0</v>
      </c>
    </row>
    <row r="80" spans="1:3" s="318" customFormat="1" ht="12" customHeight="1" x14ac:dyDescent="0.2">
      <c r="A80" s="323" t="s">
        <v>341</v>
      </c>
      <c r="B80" s="319" t="s">
        <v>342</v>
      </c>
      <c r="C80" s="237"/>
    </row>
    <row r="81" spans="1:3" s="318" customFormat="1" ht="12" customHeight="1" x14ac:dyDescent="0.2">
      <c r="A81" s="324" t="s">
        <v>343</v>
      </c>
      <c r="B81" s="320" t="s">
        <v>344</v>
      </c>
      <c r="C81" s="237"/>
    </row>
    <row r="82" spans="1:3" s="318" customFormat="1" ht="12" customHeight="1" x14ac:dyDescent="0.2">
      <c r="A82" s="324" t="s">
        <v>345</v>
      </c>
      <c r="B82" s="320" t="s">
        <v>346</v>
      </c>
      <c r="C82" s="237"/>
    </row>
    <row r="83" spans="1:3" s="318" customFormat="1" ht="12" customHeight="1" thickBot="1" x14ac:dyDescent="0.25">
      <c r="A83" s="325" t="s">
        <v>347</v>
      </c>
      <c r="B83" s="230" t="s">
        <v>348</v>
      </c>
      <c r="C83" s="237"/>
    </row>
    <row r="84" spans="1:3" s="318" customFormat="1" ht="12" customHeight="1" thickBot="1" x14ac:dyDescent="0.25">
      <c r="A84" s="393" t="s">
        <v>349</v>
      </c>
      <c r="B84" s="228" t="s">
        <v>559</v>
      </c>
      <c r="C84" s="358"/>
    </row>
    <row r="85" spans="1:3" s="318" customFormat="1" ht="13.5" customHeight="1" thickBot="1" x14ac:dyDescent="0.25">
      <c r="A85" s="393" t="s">
        <v>351</v>
      </c>
      <c r="B85" s="228" t="s">
        <v>350</v>
      </c>
      <c r="C85" s="358"/>
    </row>
    <row r="86" spans="1:3" s="318" customFormat="1" ht="15.75" customHeight="1" thickBot="1" x14ac:dyDescent="0.25">
      <c r="A86" s="393" t="s">
        <v>363</v>
      </c>
      <c r="B86" s="326" t="s">
        <v>560</v>
      </c>
      <c r="C86" s="238">
        <f>+C63+C67+C72+C75+C79+C85+C84</f>
        <v>0</v>
      </c>
    </row>
    <row r="87" spans="1:3" s="318" customFormat="1" ht="16.5" customHeight="1" thickBot="1" x14ac:dyDescent="0.25">
      <c r="A87" s="395" t="s">
        <v>561</v>
      </c>
      <c r="B87" s="327" t="s">
        <v>562</v>
      </c>
      <c r="C87" s="238">
        <f>+C62+C86</f>
        <v>5779000</v>
      </c>
    </row>
    <row r="88" spans="1:3" s="318" customFormat="1" ht="83.25" customHeight="1" x14ac:dyDescent="0.2">
      <c r="A88" s="4"/>
      <c r="B88" s="5"/>
      <c r="C88" s="239"/>
    </row>
    <row r="89" spans="1:3" ht="16.5" customHeight="1" x14ac:dyDescent="0.25">
      <c r="A89" s="1171" t="s">
        <v>60</v>
      </c>
      <c r="B89" s="1171"/>
      <c r="C89" s="1171"/>
    </row>
    <row r="90" spans="1:3" s="328" customFormat="1" ht="16.5" customHeight="1" thickBot="1" x14ac:dyDescent="0.3">
      <c r="A90" s="1172" t="s">
        <v>162</v>
      </c>
      <c r="B90" s="1172"/>
      <c r="C90" s="104" t="s">
        <v>688</v>
      </c>
    </row>
    <row r="91" spans="1:3" ht="38.1" customHeight="1" thickBot="1" x14ac:dyDescent="0.3">
      <c r="A91" s="22" t="s">
        <v>84</v>
      </c>
      <c r="B91" s="23" t="s">
        <v>61</v>
      </c>
      <c r="C91" s="37" t="str">
        <f>+C3</f>
        <v>2018. évi előirányzat</v>
      </c>
    </row>
    <row r="92" spans="1:3" s="317" customFormat="1" ht="12" customHeight="1" thickBot="1" x14ac:dyDescent="0.25">
      <c r="A92" s="31" t="s">
        <v>546</v>
      </c>
      <c r="B92" s="32" t="s">
        <v>547</v>
      </c>
      <c r="C92" s="33" t="s">
        <v>548</v>
      </c>
    </row>
    <row r="93" spans="1:3" ht="12" customHeight="1" thickBot="1" x14ac:dyDescent="0.3">
      <c r="A93" s="21" t="s">
        <v>31</v>
      </c>
      <c r="B93" s="25" t="s">
        <v>600</v>
      </c>
      <c r="C93" s="232">
        <f>C94+C95+C96+C97+C98+C111</f>
        <v>203525678</v>
      </c>
    </row>
    <row r="94" spans="1:3" ht="12" customHeight="1" x14ac:dyDescent="0.25">
      <c r="A94" s="16" t="s">
        <v>114</v>
      </c>
      <c r="B94" s="9" t="s">
        <v>62</v>
      </c>
      <c r="C94" s="420">
        <v>134654515</v>
      </c>
    </row>
    <row r="95" spans="1:3" ht="12" customHeight="1" x14ac:dyDescent="0.25">
      <c r="A95" s="13" t="s">
        <v>115</v>
      </c>
      <c r="B95" s="7" t="s">
        <v>190</v>
      </c>
      <c r="C95" s="237">
        <v>28757160</v>
      </c>
    </row>
    <row r="96" spans="1:3" ht="12" customHeight="1" x14ac:dyDescent="0.25">
      <c r="A96" s="13" t="s">
        <v>116</v>
      </c>
      <c r="B96" s="7" t="s">
        <v>151</v>
      </c>
      <c r="C96" s="308">
        <v>40114003</v>
      </c>
    </row>
    <row r="97" spans="1:3" ht="12" customHeight="1" x14ac:dyDescent="0.25">
      <c r="A97" s="13" t="s">
        <v>117</v>
      </c>
      <c r="B97" s="10" t="s">
        <v>191</v>
      </c>
      <c r="C97" s="308"/>
    </row>
    <row r="98" spans="1:3" ht="12" customHeight="1" x14ac:dyDescent="0.25">
      <c r="A98" s="13" t="s">
        <v>128</v>
      </c>
      <c r="B98" s="18" t="s">
        <v>192</v>
      </c>
      <c r="C98" s="308"/>
    </row>
    <row r="99" spans="1:3" ht="12" customHeight="1" x14ac:dyDescent="0.25">
      <c r="A99" s="13" t="s">
        <v>118</v>
      </c>
      <c r="B99" s="7" t="s">
        <v>563</v>
      </c>
      <c r="C99" s="236"/>
    </row>
    <row r="100" spans="1:3" ht="12" customHeight="1" x14ac:dyDescent="0.25">
      <c r="A100" s="13" t="s">
        <v>119</v>
      </c>
      <c r="B100" s="108" t="s">
        <v>564</v>
      </c>
      <c r="C100" s="236"/>
    </row>
    <row r="101" spans="1:3" ht="12" customHeight="1" x14ac:dyDescent="0.25">
      <c r="A101" s="13" t="s">
        <v>129</v>
      </c>
      <c r="B101" s="108" t="s">
        <v>565</v>
      </c>
      <c r="C101" s="236"/>
    </row>
    <row r="102" spans="1:3" ht="12" customHeight="1" x14ac:dyDescent="0.25">
      <c r="A102" s="13" t="s">
        <v>130</v>
      </c>
      <c r="B102" s="106" t="s">
        <v>366</v>
      </c>
      <c r="C102" s="236"/>
    </row>
    <row r="103" spans="1:3" ht="12" customHeight="1" x14ac:dyDescent="0.25">
      <c r="A103" s="13" t="s">
        <v>131</v>
      </c>
      <c r="B103" s="107" t="s">
        <v>367</v>
      </c>
      <c r="C103" s="236"/>
    </row>
    <row r="104" spans="1:3" ht="12" customHeight="1" x14ac:dyDescent="0.25">
      <c r="A104" s="13" t="s">
        <v>132</v>
      </c>
      <c r="B104" s="107" t="s">
        <v>368</v>
      </c>
      <c r="C104" s="236"/>
    </row>
    <row r="105" spans="1:3" ht="12" customHeight="1" x14ac:dyDescent="0.25">
      <c r="A105" s="13" t="s">
        <v>134</v>
      </c>
      <c r="B105" s="106" t="s">
        <v>369</v>
      </c>
      <c r="C105" s="236"/>
    </row>
    <row r="106" spans="1:3" ht="12" customHeight="1" x14ac:dyDescent="0.25">
      <c r="A106" s="13" t="s">
        <v>193</v>
      </c>
      <c r="B106" s="106" t="s">
        <v>370</v>
      </c>
      <c r="C106" s="236"/>
    </row>
    <row r="107" spans="1:3" ht="12" customHeight="1" x14ac:dyDescent="0.25">
      <c r="A107" s="13" t="s">
        <v>364</v>
      </c>
      <c r="B107" s="107" t="s">
        <v>371</v>
      </c>
      <c r="C107" s="236"/>
    </row>
    <row r="108" spans="1:3" ht="12" customHeight="1" x14ac:dyDescent="0.25">
      <c r="A108" s="12" t="s">
        <v>365</v>
      </c>
      <c r="B108" s="108" t="s">
        <v>372</v>
      </c>
      <c r="C108" s="236"/>
    </row>
    <row r="109" spans="1:3" ht="12" customHeight="1" x14ac:dyDescent="0.25">
      <c r="A109" s="13" t="s">
        <v>566</v>
      </c>
      <c r="B109" s="108" t="s">
        <v>373</v>
      </c>
      <c r="C109" s="236"/>
    </row>
    <row r="110" spans="1:3" ht="12" customHeight="1" x14ac:dyDescent="0.25">
      <c r="A110" s="15" t="s">
        <v>567</v>
      </c>
      <c r="B110" s="108" t="s">
        <v>374</v>
      </c>
      <c r="C110" s="236"/>
    </row>
    <row r="111" spans="1:3" ht="12" customHeight="1" x14ac:dyDescent="0.25">
      <c r="A111" s="13" t="s">
        <v>568</v>
      </c>
      <c r="B111" s="10" t="s">
        <v>63</v>
      </c>
      <c r="C111" s="234"/>
    </row>
    <row r="112" spans="1:3" ht="12" customHeight="1" x14ac:dyDescent="0.25">
      <c r="A112" s="13" t="s">
        <v>569</v>
      </c>
      <c r="B112" s="7" t="s">
        <v>570</v>
      </c>
      <c r="C112" s="234"/>
    </row>
    <row r="113" spans="1:3" ht="12" customHeight="1" thickBot="1" x14ac:dyDescent="0.3">
      <c r="A113" s="17" t="s">
        <v>571</v>
      </c>
      <c r="B113" s="396" t="s">
        <v>572</v>
      </c>
      <c r="C113" s="240"/>
    </row>
    <row r="114" spans="1:3" ht="12" customHeight="1" thickBot="1" x14ac:dyDescent="0.3">
      <c r="A114" s="397" t="s">
        <v>32</v>
      </c>
      <c r="B114" s="398" t="s">
        <v>375</v>
      </c>
      <c r="C114" s="399">
        <f>+C115+C117+C119</f>
        <v>4919980</v>
      </c>
    </row>
    <row r="115" spans="1:3" ht="12" customHeight="1" x14ac:dyDescent="0.25">
      <c r="A115" s="14" t="s">
        <v>120</v>
      </c>
      <c r="B115" s="7" t="s">
        <v>236</v>
      </c>
      <c r="C115" s="357">
        <v>4919980</v>
      </c>
    </row>
    <row r="116" spans="1:3" ht="12" customHeight="1" x14ac:dyDescent="0.25">
      <c r="A116" s="14" t="s">
        <v>121</v>
      </c>
      <c r="B116" s="11" t="s">
        <v>379</v>
      </c>
      <c r="C116" s="235"/>
    </row>
    <row r="117" spans="1:3" ht="12" customHeight="1" x14ac:dyDescent="0.25">
      <c r="A117" s="14" t="s">
        <v>122</v>
      </c>
      <c r="B117" s="11" t="s">
        <v>194</v>
      </c>
      <c r="C117" s="234"/>
    </row>
    <row r="118" spans="1:3" ht="12" customHeight="1" x14ac:dyDescent="0.25">
      <c r="A118" s="14" t="s">
        <v>123</v>
      </c>
      <c r="B118" s="11" t="s">
        <v>380</v>
      </c>
      <c r="C118" s="217"/>
    </row>
    <row r="119" spans="1:3" ht="12" customHeight="1" x14ac:dyDescent="0.25">
      <c r="A119" s="14" t="s">
        <v>124</v>
      </c>
      <c r="B119" s="230" t="s">
        <v>238</v>
      </c>
      <c r="C119" s="411"/>
    </row>
    <row r="120" spans="1:3" ht="12" customHeight="1" x14ac:dyDescent="0.25">
      <c r="A120" s="14" t="s">
        <v>133</v>
      </c>
      <c r="B120" s="229" t="s">
        <v>442</v>
      </c>
      <c r="C120" s="411"/>
    </row>
    <row r="121" spans="1:3" ht="12" customHeight="1" x14ac:dyDescent="0.25">
      <c r="A121" s="14" t="s">
        <v>135</v>
      </c>
      <c r="B121" s="315" t="s">
        <v>385</v>
      </c>
      <c r="C121" s="411"/>
    </row>
    <row r="122" spans="1:3" x14ac:dyDescent="0.25">
      <c r="A122" s="14" t="s">
        <v>195</v>
      </c>
      <c r="B122" s="107" t="s">
        <v>368</v>
      </c>
      <c r="C122" s="411"/>
    </row>
    <row r="123" spans="1:3" ht="12" customHeight="1" x14ac:dyDescent="0.25">
      <c r="A123" s="14" t="s">
        <v>196</v>
      </c>
      <c r="B123" s="107" t="s">
        <v>384</v>
      </c>
      <c r="C123" s="411"/>
    </row>
    <row r="124" spans="1:3" ht="12" customHeight="1" x14ac:dyDescent="0.25">
      <c r="A124" s="14" t="s">
        <v>197</v>
      </c>
      <c r="B124" s="107" t="s">
        <v>383</v>
      </c>
      <c r="C124" s="411"/>
    </row>
    <row r="125" spans="1:3" ht="12" customHeight="1" x14ac:dyDescent="0.25">
      <c r="A125" s="14" t="s">
        <v>376</v>
      </c>
      <c r="B125" s="107" t="s">
        <v>371</v>
      </c>
      <c r="C125" s="411"/>
    </row>
    <row r="126" spans="1:3" ht="12" customHeight="1" x14ac:dyDescent="0.25">
      <c r="A126" s="14" t="s">
        <v>377</v>
      </c>
      <c r="B126" s="107" t="s">
        <v>382</v>
      </c>
      <c r="C126" s="217"/>
    </row>
    <row r="127" spans="1:3" ht="16.5" thickBot="1" x14ac:dyDescent="0.3">
      <c r="A127" s="12" t="s">
        <v>378</v>
      </c>
      <c r="B127" s="107" t="s">
        <v>381</v>
      </c>
      <c r="C127" s="218"/>
    </row>
    <row r="128" spans="1:3" ht="12" customHeight="1" thickBot="1" x14ac:dyDescent="0.3">
      <c r="A128" s="19" t="s">
        <v>33</v>
      </c>
      <c r="B128" s="98" t="s">
        <v>573</v>
      </c>
      <c r="C128" s="233">
        <f>+C93+C114</f>
        <v>208445658</v>
      </c>
    </row>
    <row r="129" spans="1:3" ht="12" customHeight="1" thickBot="1" x14ac:dyDescent="0.3">
      <c r="A129" s="19" t="s">
        <v>34</v>
      </c>
      <c r="B129" s="98" t="s">
        <v>574</v>
      </c>
      <c r="C129" s="233">
        <f>+C130+C131+C132</f>
        <v>0</v>
      </c>
    </row>
    <row r="130" spans="1:3" ht="12" customHeight="1" x14ac:dyDescent="0.25">
      <c r="A130" s="14" t="s">
        <v>276</v>
      </c>
      <c r="B130" s="11" t="s">
        <v>575</v>
      </c>
      <c r="C130" s="217"/>
    </row>
    <row r="131" spans="1:3" ht="12" customHeight="1" x14ac:dyDescent="0.25">
      <c r="A131" s="14" t="s">
        <v>279</v>
      </c>
      <c r="B131" s="11" t="s">
        <v>576</v>
      </c>
      <c r="C131" s="217"/>
    </row>
    <row r="132" spans="1:3" ht="12" customHeight="1" thickBot="1" x14ac:dyDescent="0.3">
      <c r="A132" s="12" t="s">
        <v>280</v>
      </c>
      <c r="B132" s="11" t="s">
        <v>577</v>
      </c>
      <c r="C132" s="217"/>
    </row>
    <row r="133" spans="1:3" ht="12" customHeight="1" thickBot="1" x14ac:dyDescent="0.3">
      <c r="A133" s="19" t="s">
        <v>35</v>
      </c>
      <c r="B133" s="98" t="s">
        <v>578</v>
      </c>
      <c r="C133" s="233">
        <f>SUM(C134:C139)</f>
        <v>0</v>
      </c>
    </row>
    <row r="134" spans="1:3" ht="12" customHeight="1" x14ac:dyDescent="0.25">
      <c r="A134" s="14" t="s">
        <v>107</v>
      </c>
      <c r="B134" s="8" t="s">
        <v>579</v>
      </c>
      <c r="C134" s="217"/>
    </row>
    <row r="135" spans="1:3" ht="12" customHeight="1" x14ac:dyDescent="0.25">
      <c r="A135" s="14" t="s">
        <v>108</v>
      </c>
      <c r="B135" s="8" t="s">
        <v>580</v>
      </c>
      <c r="C135" s="217"/>
    </row>
    <row r="136" spans="1:3" ht="12" customHeight="1" x14ac:dyDescent="0.25">
      <c r="A136" s="14" t="s">
        <v>109</v>
      </c>
      <c r="B136" s="8" t="s">
        <v>581</v>
      </c>
      <c r="C136" s="217"/>
    </row>
    <row r="137" spans="1:3" ht="12" customHeight="1" x14ac:dyDescent="0.25">
      <c r="A137" s="14" t="s">
        <v>182</v>
      </c>
      <c r="B137" s="8" t="s">
        <v>582</v>
      </c>
      <c r="C137" s="217"/>
    </row>
    <row r="138" spans="1:3" ht="12" customHeight="1" x14ac:dyDescent="0.25">
      <c r="A138" s="14" t="s">
        <v>183</v>
      </c>
      <c r="B138" s="8" t="s">
        <v>583</v>
      </c>
      <c r="C138" s="217"/>
    </row>
    <row r="139" spans="1:3" ht="12" customHeight="1" thickBot="1" x14ac:dyDescent="0.3">
      <c r="A139" s="12" t="s">
        <v>184</v>
      </c>
      <c r="B139" s="8" t="s">
        <v>584</v>
      </c>
      <c r="C139" s="217"/>
    </row>
    <row r="140" spans="1:3" ht="12" customHeight="1" thickBot="1" x14ac:dyDescent="0.3">
      <c r="A140" s="19" t="s">
        <v>36</v>
      </c>
      <c r="B140" s="98" t="s">
        <v>585</v>
      </c>
      <c r="C140" s="238">
        <f>+C141+C142+C143+C144</f>
        <v>0</v>
      </c>
    </row>
    <row r="141" spans="1:3" ht="12" customHeight="1" x14ac:dyDescent="0.25">
      <c r="A141" s="14" t="s">
        <v>110</v>
      </c>
      <c r="B141" s="8" t="s">
        <v>386</v>
      </c>
      <c r="C141" s="217"/>
    </row>
    <row r="142" spans="1:3" ht="12" customHeight="1" x14ac:dyDescent="0.25">
      <c r="A142" s="14" t="s">
        <v>111</v>
      </c>
      <c r="B142" s="8" t="s">
        <v>387</v>
      </c>
      <c r="C142" s="217"/>
    </row>
    <row r="143" spans="1:3" ht="12" customHeight="1" x14ac:dyDescent="0.25">
      <c r="A143" s="14" t="s">
        <v>300</v>
      </c>
      <c r="B143" s="8" t="s">
        <v>586</v>
      </c>
      <c r="C143" s="217"/>
    </row>
    <row r="144" spans="1:3" ht="12" customHeight="1" thickBot="1" x14ac:dyDescent="0.3">
      <c r="A144" s="12" t="s">
        <v>301</v>
      </c>
      <c r="B144" s="6" t="s">
        <v>405</v>
      </c>
      <c r="C144" s="217"/>
    </row>
    <row r="145" spans="1:6" ht="12" customHeight="1" thickBot="1" x14ac:dyDescent="0.3">
      <c r="A145" s="19" t="s">
        <v>37</v>
      </c>
      <c r="B145" s="98" t="s">
        <v>587</v>
      </c>
      <c r="C145" s="241">
        <f>SUM(C146:C150)</f>
        <v>0</v>
      </c>
    </row>
    <row r="146" spans="1:6" ht="12" customHeight="1" x14ac:dyDescent="0.25">
      <c r="A146" s="14" t="s">
        <v>112</v>
      </c>
      <c r="B146" s="8" t="s">
        <v>588</v>
      </c>
      <c r="C146" s="217"/>
    </row>
    <row r="147" spans="1:6" ht="12" customHeight="1" x14ac:dyDescent="0.25">
      <c r="A147" s="14" t="s">
        <v>113</v>
      </c>
      <c r="B147" s="8" t="s">
        <v>589</v>
      </c>
      <c r="C147" s="217"/>
    </row>
    <row r="148" spans="1:6" ht="12" customHeight="1" x14ac:dyDescent="0.25">
      <c r="A148" s="14" t="s">
        <v>312</v>
      </c>
      <c r="B148" s="8" t="s">
        <v>590</v>
      </c>
      <c r="C148" s="217"/>
    </row>
    <row r="149" spans="1:6" ht="12" customHeight="1" x14ac:dyDescent="0.25">
      <c r="A149" s="14" t="s">
        <v>313</v>
      </c>
      <c r="B149" s="8" t="s">
        <v>591</v>
      </c>
      <c r="C149" s="217"/>
    </row>
    <row r="150" spans="1:6" ht="12" customHeight="1" thickBot="1" x14ac:dyDescent="0.3">
      <c r="A150" s="14" t="s">
        <v>592</v>
      </c>
      <c r="B150" s="8" t="s">
        <v>593</v>
      </c>
      <c r="C150" s="217"/>
    </row>
    <row r="151" spans="1:6" ht="12" customHeight="1" thickBot="1" x14ac:dyDescent="0.3">
      <c r="A151" s="19" t="s">
        <v>38</v>
      </c>
      <c r="B151" s="98" t="s">
        <v>594</v>
      </c>
      <c r="C151" s="400"/>
    </row>
    <row r="152" spans="1:6" ht="12" customHeight="1" thickBot="1" x14ac:dyDescent="0.3">
      <c r="A152" s="19" t="s">
        <v>39</v>
      </c>
      <c r="B152" s="98" t="s">
        <v>595</v>
      </c>
      <c r="C152" s="400"/>
    </row>
    <row r="153" spans="1:6" ht="15" customHeight="1" thickBot="1" x14ac:dyDescent="0.3">
      <c r="A153" s="19" t="s">
        <v>40</v>
      </c>
      <c r="B153" s="98" t="s">
        <v>596</v>
      </c>
      <c r="C153" s="329">
        <f>+C129+C133+C140+C145+C151+C152</f>
        <v>0</v>
      </c>
      <c r="D153" s="330"/>
      <c r="E153" s="330"/>
      <c r="F153" s="330"/>
    </row>
    <row r="154" spans="1:6" s="318" customFormat="1" ht="12.95" customHeight="1" thickBot="1" x14ac:dyDescent="0.25">
      <c r="A154" s="231" t="s">
        <v>41</v>
      </c>
      <c r="B154" s="304" t="s">
        <v>597</v>
      </c>
      <c r="C154" s="329">
        <f>+C128+C153</f>
        <v>208445658</v>
      </c>
    </row>
    <row r="155" spans="1:6" ht="7.5" customHeight="1" x14ac:dyDescent="0.25"/>
    <row r="156" spans="1:6" x14ac:dyDescent="0.25">
      <c r="A156" s="1173" t="s">
        <v>388</v>
      </c>
      <c r="B156" s="1173"/>
      <c r="C156" s="1173"/>
    </row>
    <row r="157" spans="1:6" ht="15" customHeight="1" thickBot="1" x14ac:dyDescent="0.3">
      <c r="A157" s="1170" t="s">
        <v>163</v>
      </c>
      <c r="B157" s="1170"/>
      <c r="C157" s="242" t="s">
        <v>688</v>
      </c>
    </row>
    <row r="158" spans="1:6" ht="13.5" customHeight="1" thickBot="1" x14ac:dyDescent="0.3">
      <c r="A158" s="19">
        <v>1</v>
      </c>
      <c r="B158" s="24" t="s">
        <v>598</v>
      </c>
      <c r="C158" s="233">
        <f>+C62-C128</f>
        <v>-202666658</v>
      </c>
    </row>
    <row r="159" spans="1:6" ht="32.25" customHeight="1" thickBot="1" x14ac:dyDescent="0.3">
      <c r="A159" s="19" t="s">
        <v>32</v>
      </c>
      <c r="B159" s="24" t="s">
        <v>599</v>
      </c>
      <c r="C159" s="233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1.4. melléklet a ../......(......)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>
    <tabColor rgb="FF92D050"/>
  </sheetPr>
  <dimension ref="A1:G26"/>
  <sheetViews>
    <sheetView view="pageLayout" topLeftCell="A16" zoomScaleNormal="100" workbookViewId="0">
      <selection activeCell="G2" sqref="G2"/>
    </sheetView>
  </sheetViews>
  <sheetFormatPr defaultRowHeight="12.75" x14ac:dyDescent="0.2"/>
  <cols>
    <col min="1" max="1" width="5.5" style="43" customWidth="1"/>
    <col min="2" max="2" width="33.1640625" style="43" customWidth="1"/>
    <col min="3" max="3" width="12.33203125" style="43" customWidth="1"/>
    <col min="4" max="4" width="11.5" style="43" customWidth="1"/>
    <col min="5" max="5" width="11.33203125" style="43" customWidth="1"/>
    <col min="6" max="6" width="11" style="43" customWidth="1"/>
    <col min="7" max="7" width="14.33203125" style="43" customWidth="1"/>
    <col min="8" max="16384" width="9.33203125" style="43"/>
  </cols>
  <sheetData>
    <row r="1" spans="1:7" ht="43.5" customHeight="1" x14ac:dyDescent="0.25">
      <c r="A1" s="1230" t="s">
        <v>16</v>
      </c>
      <c r="B1" s="1230"/>
      <c r="C1" s="1230"/>
      <c r="D1" s="1230"/>
      <c r="E1" s="1230"/>
      <c r="F1" s="1230"/>
      <c r="G1" s="1230"/>
    </row>
    <row r="3" spans="1:7" s="118" customFormat="1" ht="27" customHeight="1" x14ac:dyDescent="0.25">
      <c r="A3" s="116" t="s">
        <v>214</v>
      </c>
      <c r="B3" s="117"/>
      <c r="C3" s="1229" t="s">
        <v>215</v>
      </c>
      <c r="D3" s="1229"/>
      <c r="E3" s="1229"/>
      <c r="F3" s="1229"/>
      <c r="G3" s="1229"/>
    </row>
    <row r="4" spans="1:7" s="118" customFormat="1" ht="15.75" x14ac:dyDescent="0.25">
      <c r="A4" s="117"/>
      <c r="B4" s="117"/>
      <c r="C4" s="117"/>
      <c r="D4" s="117"/>
      <c r="E4" s="117"/>
      <c r="F4" s="117"/>
      <c r="G4" s="117"/>
    </row>
    <row r="5" spans="1:7" s="118" customFormat="1" ht="24.75" customHeight="1" x14ac:dyDescent="0.25">
      <c r="A5" s="116" t="s">
        <v>216</v>
      </c>
      <c r="B5" s="117"/>
      <c r="C5" s="1229" t="s">
        <v>215</v>
      </c>
      <c r="D5" s="1229"/>
      <c r="E5" s="1229"/>
      <c r="F5" s="1229"/>
      <c r="G5" s="117"/>
    </row>
    <row r="6" spans="1:7" s="119" customFormat="1" x14ac:dyDescent="0.2">
      <c r="A6" s="160"/>
      <c r="B6" s="160"/>
      <c r="C6" s="160"/>
      <c r="D6" s="160"/>
      <c r="E6" s="160"/>
      <c r="F6" s="160"/>
      <c r="G6" s="160"/>
    </row>
    <row r="7" spans="1:7" s="120" customFormat="1" ht="15" customHeight="1" x14ac:dyDescent="0.25">
      <c r="A7" s="216" t="s">
        <v>217</v>
      </c>
      <c r="B7" s="215"/>
      <c r="C7" s="215"/>
      <c r="D7" s="201"/>
      <c r="E7" s="201"/>
      <c r="F7" s="201"/>
      <c r="G7" s="201"/>
    </row>
    <row r="8" spans="1:7" s="120" customFormat="1" ht="15" customHeight="1" thickBot="1" x14ac:dyDescent="0.3">
      <c r="A8" s="216" t="s">
        <v>218</v>
      </c>
      <c r="B8" s="201"/>
      <c r="C8" s="201"/>
      <c r="D8" s="201"/>
      <c r="E8" s="201"/>
      <c r="F8" s="201"/>
      <c r="G8" s="201"/>
    </row>
    <row r="9" spans="1:7" s="56" customFormat="1" ht="42" customHeight="1" thickBot="1" x14ac:dyDescent="0.25">
      <c r="A9" s="142" t="s">
        <v>29</v>
      </c>
      <c r="B9" s="143" t="s">
        <v>219</v>
      </c>
      <c r="C9" s="143" t="s">
        <v>220</v>
      </c>
      <c r="D9" s="143" t="s">
        <v>221</v>
      </c>
      <c r="E9" s="143" t="s">
        <v>222</v>
      </c>
      <c r="F9" s="143" t="s">
        <v>223</v>
      </c>
      <c r="G9" s="144" t="s">
        <v>66</v>
      </c>
    </row>
    <row r="10" spans="1:7" ht="24" customHeight="1" x14ac:dyDescent="0.2">
      <c r="A10" s="202" t="s">
        <v>31</v>
      </c>
      <c r="B10" s="150" t="s">
        <v>224</v>
      </c>
      <c r="C10" s="121"/>
      <c r="D10" s="121"/>
      <c r="E10" s="121"/>
      <c r="F10" s="121"/>
      <c r="G10" s="203">
        <f>SUM(C10:F10)</f>
        <v>0</v>
      </c>
    </row>
    <row r="11" spans="1:7" ht="24" customHeight="1" x14ac:dyDescent="0.2">
      <c r="A11" s="204" t="s">
        <v>32</v>
      </c>
      <c r="B11" s="151" t="s">
        <v>225</v>
      </c>
      <c r="C11" s="122"/>
      <c r="D11" s="122"/>
      <c r="E11" s="122"/>
      <c r="F11" s="122"/>
      <c r="G11" s="205">
        <f t="shared" ref="G11:G16" si="0">SUM(C11:F11)</f>
        <v>0</v>
      </c>
    </row>
    <row r="12" spans="1:7" ht="24" customHeight="1" x14ac:dyDescent="0.2">
      <c r="A12" s="204" t="s">
        <v>33</v>
      </c>
      <c r="B12" s="151" t="s">
        <v>226</v>
      </c>
      <c r="C12" s="122"/>
      <c r="D12" s="122"/>
      <c r="E12" s="122"/>
      <c r="F12" s="122"/>
      <c r="G12" s="205">
        <f t="shared" si="0"/>
        <v>0</v>
      </c>
    </row>
    <row r="13" spans="1:7" ht="24" customHeight="1" x14ac:dyDescent="0.2">
      <c r="A13" s="204" t="s">
        <v>34</v>
      </c>
      <c r="B13" s="151" t="s">
        <v>227</v>
      </c>
      <c r="C13" s="122"/>
      <c r="D13" s="122"/>
      <c r="E13" s="122"/>
      <c r="F13" s="122"/>
      <c r="G13" s="205">
        <f t="shared" si="0"/>
        <v>0</v>
      </c>
    </row>
    <row r="14" spans="1:7" ht="24" customHeight="1" x14ac:dyDescent="0.2">
      <c r="A14" s="204" t="s">
        <v>35</v>
      </c>
      <c r="B14" s="151" t="s">
        <v>228</v>
      </c>
      <c r="C14" s="122"/>
      <c r="D14" s="122"/>
      <c r="E14" s="122"/>
      <c r="F14" s="122"/>
      <c r="G14" s="205">
        <f t="shared" si="0"/>
        <v>0</v>
      </c>
    </row>
    <row r="15" spans="1:7" ht="24" customHeight="1" thickBot="1" x14ac:dyDescent="0.25">
      <c r="A15" s="206" t="s">
        <v>36</v>
      </c>
      <c r="B15" s="207" t="s">
        <v>229</v>
      </c>
      <c r="C15" s="123"/>
      <c r="D15" s="123"/>
      <c r="E15" s="123"/>
      <c r="F15" s="123"/>
      <c r="G15" s="208">
        <f t="shared" si="0"/>
        <v>0</v>
      </c>
    </row>
    <row r="16" spans="1:7" s="124" customFormat="1" ht="24" customHeight="1" thickBot="1" x14ac:dyDescent="0.25">
      <c r="A16" s="209" t="s">
        <v>37</v>
      </c>
      <c r="B16" s="210" t="s">
        <v>66</v>
      </c>
      <c r="C16" s="211">
        <f>SUM(C10:C15)</f>
        <v>0</v>
      </c>
      <c r="D16" s="211">
        <f>SUM(D10:D15)</f>
        <v>0</v>
      </c>
      <c r="E16" s="211">
        <f>SUM(E10:E15)</f>
        <v>0</v>
      </c>
      <c r="F16" s="211">
        <f>SUM(F10:F15)</f>
        <v>0</v>
      </c>
      <c r="G16" s="212">
        <f t="shared" si="0"/>
        <v>0</v>
      </c>
    </row>
    <row r="17" spans="1:7" s="119" customFormat="1" x14ac:dyDescent="0.2">
      <c r="A17" s="160"/>
      <c r="B17" s="160"/>
      <c r="C17" s="160"/>
      <c r="D17" s="160"/>
      <c r="E17" s="160"/>
      <c r="F17" s="160"/>
      <c r="G17" s="160"/>
    </row>
    <row r="18" spans="1:7" s="119" customFormat="1" x14ac:dyDescent="0.2">
      <c r="A18" s="160"/>
      <c r="B18" s="160"/>
      <c r="C18" s="160"/>
      <c r="D18" s="160"/>
      <c r="E18" s="160"/>
      <c r="F18" s="160"/>
      <c r="G18" s="160"/>
    </row>
    <row r="19" spans="1:7" s="119" customFormat="1" x14ac:dyDescent="0.2">
      <c r="A19" s="160"/>
      <c r="B19" s="160"/>
      <c r="C19" s="160"/>
      <c r="D19" s="160"/>
      <c r="E19" s="160"/>
      <c r="F19" s="160"/>
      <c r="G19" s="160"/>
    </row>
    <row r="20" spans="1:7" s="119" customFormat="1" ht="15.75" x14ac:dyDescent="0.25">
      <c r="A20" s="118" t="s">
        <v>854</v>
      </c>
      <c r="B20" s="160"/>
      <c r="C20" s="160"/>
      <c r="D20" s="160"/>
      <c r="E20" s="160"/>
      <c r="F20" s="160"/>
      <c r="G20" s="160"/>
    </row>
    <row r="21" spans="1:7" s="119" customFormat="1" x14ac:dyDescent="0.2">
      <c r="A21" s="160"/>
      <c r="B21" s="160"/>
      <c r="C21" s="160"/>
      <c r="D21" s="160"/>
      <c r="E21" s="160"/>
      <c r="F21" s="160"/>
      <c r="G21" s="160"/>
    </row>
    <row r="22" spans="1:7" x14ac:dyDescent="0.2">
      <c r="A22" s="160"/>
      <c r="B22" s="160"/>
      <c r="C22" s="160"/>
      <c r="D22" s="160"/>
      <c r="E22" s="160"/>
      <c r="F22" s="160"/>
      <c r="G22" s="160"/>
    </row>
    <row r="23" spans="1:7" x14ac:dyDescent="0.2">
      <c r="A23" s="160"/>
      <c r="B23" s="160"/>
      <c r="C23" s="119"/>
      <c r="D23" s="119"/>
      <c r="E23" s="119"/>
      <c r="F23" s="119"/>
      <c r="G23" s="160"/>
    </row>
    <row r="24" spans="1:7" ht="13.5" x14ac:dyDescent="0.25">
      <c r="A24" s="160"/>
      <c r="B24" s="160"/>
      <c r="C24" s="213"/>
      <c r="D24" s="214" t="s">
        <v>230</v>
      </c>
      <c r="E24" s="214"/>
      <c r="F24" s="213"/>
      <c r="G24" s="160"/>
    </row>
    <row r="25" spans="1:7" ht="13.5" x14ac:dyDescent="0.25">
      <c r="C25" s="125"/>
      <c r="D25" s="126"/>
      <c r="E25" s="126"/>
      <c r="F25" s="125"/>
    </row>
    <row r="26" spans="1:7" ht="13.5" x14ac:dyDescent="0.25">
      <c r="C26" s="125"/>
      <c r="D26" s="126"/>
      <c r="E26" s="126"/>
      <c r="F26" s="125"/>
    </row>
  </sheetData>
  <sheetProtection sheet="1"/>
  <mergeCells count="3">
    <mergeCell ref="C3:G3"/>
    <mergeCell ref="C5:F5"/>
    <mergeCell ref="A1:G1"/>
  </mergeCells>
  <phoneticPr fontId="29" type="noConversion"/>
  <printOptions horizontalCentered="1"/>
  <pageMargins left="0.78740157480314965" right="0.78740157480314965" top="1.1499999999999999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CE,Félkövér"&amp;12
&amp;R&amp;"Times New Roman CE,Félkövér dőlt"&amp;11 &amp;"Times New Roman CE,Normál"12. melléklet a ../.....(.......)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tabSelected="1" view="pageBreakPreview" topLeftCell="A139" zoomScale="85" zoomScaleNormal="100" zoomScaleSheetLayoutView="85" zoomScalePageLayoutView="70" workbookViewId="0">
      <selection activeCell="N9" sqref="N9"/>
    </sheetView>
  </sheetViews>
  <sheetFormatPr defaultRowHeight="15.75" x14ac:dyDescent="0.25"/>
  <cols>
    <col min="1" max="1" width="9" style="462" customWidth="1"/>
    <col min="2" max="2" width="75.83203125" style="462" customWidth="1"/>
    <col min="3" max="3" width="16.5" style="1167" customWidth="1"/>
    <col min="4" max="4" width="15.5" style="1167" customWidth="1"/>
    <col min="5" max="7" width="15.5" style="1167" hidden="1" customWidth="1"/>
    <col min="8" max="8" width="15.5" style="1167" customWidth="1"/>
    <col min="9" max="9" width="14.33203125" style="439" hidden="1" customWidth="1"/>
    <col min="10" max="10" width="12.6640625" style="439" hidden="1" customWidth="1"/>
    <col min="11" max="11" width="14.33203125" style="439" hidden="1" customWidth="1"/>
    <col min="12" max="16384" width="9.33203125" style="439"/>
  </cols>
  <sheetData>
    <row r="1" spans="1:11" ht="35.25" customHeight="1" x14ac:dyDescent="0.25">
      <c r="A1" s="1262" t="s">
        <v>898</v>
      </c>
      <c r="B1" s="1263"/>
      <c r="C1" s="1263"/>
      <c r="D1" s="1263"/>
      <c r="E1" s="1263"/>
      <c r="F1" s="1263"/>
      <c r="G1" s="1263"/>
      <c r="H1" s="1263"/>
    </row>
    <row r="3" spans="1:11" ht="15.95" customHeight="1" x14ac:dyDescent="0.25">
      <c r="A3" s="1171" t="s">
        <v>28</v>
      </c>
      <c r="B3" s="1171"/>
      <c r="C3" s="1171"/>
      <c r="D3" s="1171"/>
      <c r="E3" s="1171"/>
      <c r="F3" s="1171"/>
      <c r="G3" s="1171"/>
      <c r="H3" s="1171"/>
    </row>
    <row r="4" spans="1:11" ht="15.95" customHeight="1" thickBot="1" x14ac:dyDescent="0.3">
      <c r="A4" s="1170" t="s">
        <v>161</v>
      </c>
      <c r="B4" s="1170"/>
      <c r="C4" s="1146"/>
      <c r="D4" s="1146"/>
      <c r="E4" s="1147"/>
      <c r="F4" s="1147"/>
      <c r="G4" s="1147"/>
      <c r="H4" s="1148" t="s">
        <v>702</v>
      </c>
    </row>
    <row r="5" spans="1:11" ht="38.1" customHeight="1" thickBot="1" x14ac:dyDescent="0.3">
      <c r="A5" s="22" t="s">
        <v>84</v>
      </c>
      <c r="B5" s="23" t="s">
        <v>30</v>
      </c>
      <c r="C5" s="1149" t="s">
        <v>855</v>
      </c>
      <c r="D5" s="1149" t="s">
        <v>742</v>
      </c>
      <c r="E5" s="1150"/>
      <c r="F5" s="1150"/>
      <c r="G5" s="1150"/>
      <c r="H5" s="1151" t="s">
        <v>729</v>
      </c>
    </row>
    <row r="6" spans="1:11" s="441" customFormat="1" ht="12" customHeight="1" thickBot="1" x14ac:dyDescent="0.25">
      <c r="A6" s="31" t="s">
        <v>546</v>
      </c>
      <c r="B6" s="32" t="s">
        <v>547</v>
      </c>
      <c r="C6" s="1075" t="s">
        <v>548</v>
      </c>
      <c r="D6" s="1075" t="s">
        <v>601</v>
      </c>
      <c r="E6" s="1152"/>
      <c r="F6" s="1152"/>
      <c r="G6" s="1152"/>
      <c r="H6" s="1122" t="s">
        <v>602</v>
      </c>
    </row>
    <row r="7" spans="1:11" s="444" customFormat="1" ht="12" customHeight="1" thickBot="1" x14ac:dyDescent="0.25">
      <c r="A7" s="19" t="s">
        <v>31</v>
      </c>
      <c r="B7" s="20" t="s">
        <v>260</v>
      </c>
      <c r="C7" s="1075">
        <f>SUM(C8:C13)</f>
        <v>1024115149</v>
      </c>
      <c r="D7" s="1076">
        <f>SUM(D8:D13)</f>
        <v>1157368280</v>
      </c>
      <c r="E7" s="1077">
        <f>+E8+E9+E10+E11+E12+E13</f>
        <v>1133144785</v>
      </c>
      <c r="F7" s="1076">
        <f>+F8+F9+F10+F11+F12+F13</f>
        <v>0</v>
      </c>
      <c r="G7" s="1076">
        <f>+G8+G9+G10+G11+G12+G13</f>
        <v>0</v>
      </c>
      <c r="H7" s="1076">
        <f>SUM(I7:K7)</f>
        <v>1317581468</v>
      </c>
      <c r="I7" s="443">
        <f>+I8+I9+I10+I11+I12+I13</f>
        <v>1317581468</v>
      </c>
      <c r="J7" s="233">
        <f>+J8+J9+J10+J11+J12+J13</f>
        <v>0</v>
      </c>
      <c r="K7" s="233">
        <f>+K8+K9+K10+K11+K12+K13</f>
        <v>0</v>
      </c>
    </row>
    <row r="8" spans="1:11" s="444" customFormat="1" ht="12" customHeight="1" x14ac:dyDescent="0.2">
      <c r="A8" s="14" t="s">
        <v>114</v>
      </c>
      <c r="B8" s="523" t="s">
        <v>261</v>
      </c>
      <c r="C8" s="1078">
        <v>231987612</v>
      </c>
      <c r="D8" s="1079">
        <f>SUM(E8:G8)+905743</f>
        <v>228418282</v>
      </c>
      <c r="E8" s="1080">
        <v>227512539</v>
      </c>
      <c r="F8" s="1081"/>
      <c r="G8" s="1081"/>
      <c r="H8" s="1082">
        <f t="shared" ref="H8:H71" si="0">SUM(I8:K8)</f>
        <v>227855923</v>
      </c>
      <c r="I8" s="357">
        <v>227855923</v>
      </c>
      <c r="J8" s="357"/>
      <c r="K8" s="357"/>
    </row>
    <row r="9" spans="1:11" s="444" customFormat="1" ht="12" customHeight="1" x14ac:dyDescent="0.2">
      <c r="A9" s="13" t="s">
        <v>115</v>
      </c>
      <c r="B9" s="524" t="s">
        <v>262</v>
      </c>
      <c r="C9" s="1083">
        <v>218221810</v>
      </c>
      <c r="D9" s="1084">
        <f>SUM(E9:G9)+10461768-4721982-4278000</f>
        <v>219569080</v>
      </c>
      <c r="E9" s="1085">
        <v>218107294</v>
      </c>
      <c r="F9" s="1086"/>
      <c r="G9" s="1086"/>
      <c r="H9" s="1087">
        <f t="shared" si="0"/>
        <v>224734134</v>
      </c>
      <c r="I9" s="237">
        <v>224734134</v>
      </c>
      <c r="J9" s="237"/>
      <c r="K9" s="237"/>
    </row>
    <row r="10" spans="1:11" s="444" customFormat="1" ht="12" customHeight="1" x14ac:dyDescent="0.2">
      <c r="A10" s="13" t="s">
        <v>116</v>
      </c>
      <c r="B10" s="524" t="s">
        <v>263</v>
      </c>
      <c r="C10" s="1083">
        <v>534266192</v>
      </c>
      <c r="D10" s="1084">
        <f>SUM(E10:G10)-35761000-1921230+31350000</f>
        <v>597207802</v>
      </c>
      <c r="E10" s="1085">
        <f>121200000+67844165+118423160+15562200+177597260+4526280+11511000+24250000+62625967</f>
        <v>603540032</v>
      </c>
      <c r="F10" s="1086"/>
      <c r="G10" s="1086"/>
      <c r="H10" s="1087">
        <f t="shared" si="0"/>
        <v>565964345</v>
      </c>
      <c r="I10" s="237">
        <f>126991000+65060600+119410000+192410145+62092600</f>
        <v>565964345</v>
      </c>
      <c r="J10" s="237"/>
      <c r="K10" s="237"/>
    </row>
    <row r="11" spans="1:11" s="444" customFormat="1" ht="12" customHeight="1" x14ac:dyDescent="0.2">
      <c r="A11" s="13" t="s">
        <v>117</v>
      </c>
      <c r="B11" s="524" t="s">
        <v>264</v>
      </c>
      <c r="C11" s="1083">
        <v>26942276</v>
      </c>
      <c r="D11" s="1084">
        <f>SUM(E11:G11)-4412740+4412740+1038248</f>
        <v>31342308</v>
      </c>
      <c r="E11" s="1085">
        <f>4412740+15262320+10629000</f>
        <v>30304060</v>
      </c>
      <c r="F11" s="1086"/>
      <c r="G11" s="1086"/>
      <c r="H11" s="1087">
        <f t="shared" si="0"/>
        <v>28744040</v>
      </c>
      <c r="I11" s="237">
        <f>16122040+12622000</f>
        <v>28744040</v>
      </c>
      <c r="J11" s="237"/>
      <c r="K11" s="237"/>
    </row>
    <row r="12" spans="1:11" s="444" customFormat="1" ht="12" customHeight="1" x14ac:dyDescent="0.2">
      <c r="A12" s="13" t="s">
        <v>158</v>
      </c>
      <c r="B12" s="1031" t="s">
        <v>549</v>
      </c>
      <c r="C12" s="1083">
        <v>1738907</v>
      </c>
      <c r="D12" s="1084">
        <f>SUM(E12:G12)+23885805+49094027+4501192-4412740-15000000+306000-31224336</f>
        <v>80830808</v>
      </c>
      <c r="E12" s="1085">
        <f>3551000+1060845+168707597+58000+128000-119824582</f>
        <v>53680860</v>
      </c>
      <c r="F12" s="1086"/>
      <c r="G12" s="1086"/>
      <c r="H12" s="1087">
        <f t="shared" si="0"/>
        <v>270283026</v>
      </c>
      <c r="I12" s="237">
        <f>16254886+63796813+190231327</f>
        <v>270283026</v>
      </c>
      <c r="J12" s="237"/>
      <c r="K12" s="237"/>
    </row>
    <row r="13" spans="1:11" s="444" customFormat="1" ht="12" customHeight="1" thickBot="1" x14ac:dyDescent="0.25">
      <c r="A13" s="15" t="s">
        <v>118</v>
      </c>
      <c r="B13" s="1032" t="s">
        <v>550</v>
      </c>
      <c r="C13" s="1088">
        <v>10958352</v>
      </c>
      <c r="D13" s="1089">
        <f>SUM(E13:G13)</f>
        <v>0</v>
      </c>
      <c r="E13" s="1090"/>
      <c r="F13" s="1091"/>
      <c r="G13" s="1091"/>
      <c r="H13" s="1092">
        <f t="shared" si="0"/>
        <v>0</v>
      </c>
      <c r="I13" s="217"/>
      <c r="J13" s="234"/>
      <c r="K13" s="234"/>
    </row>
    <row r="14" spans="1:11" s="444" customFormat="1" ht="12" customHeight="1" thickBot="1" x14ac:dyDescent="0.25">
      <c r="A14" s="19" t="s">
        <v>32</v>
      </c>
      <c r="B14" s="1033" t="s">
        <v>265</v>
      </c>
      <c r="C14" s="1093">
        <v>710827871</v>
      </c>
      <c r="D14" s="1077">
        <f>SUM(D15:D19)</f>
        <v>335849323</v>
      </c>
      <c r="E14" s="1077">
        <f>+E15+E16+E17+E18+E19</f>
        <v>-145452435</v>
      </c>
      <c r="F14" s="1076">
        <f>+F15+F16+F17+F18+F19</f>
        <v>0</v>
      </c>
      <c r="G14" s="1076">
        <f>+G15+G16+G17+G18+G19</f>
        <v>5485000</v>
      </c>
      <c r="H14" s="1076">
        <f t="shared" si="0"/>
        <v>180965882</v>
      </c>
      <c r="I14" s="443">
        <f>+I15+I16+I17+I18+I19</f>
        <v>158357110</v>
      </c>
      <c r="J14" s="233">
        <f>+J15+J16+J17+J18+J19</f>
        <v>3096237</v>
      </c>
      <c r="K14" s="233">
        <f>+K15+K16+K17+K18+K19</f>
        <v>19512535</v>
      </c>
    </row>
    <row r="15" spans="1:11" s="444" customFormat="1" ht="12" customHeight="1" x14ac:dyDescent="0.2">
      <c r="A15" s="14" t="s">
        <v>120</v>
      </c>
      <c r="B15" s="523" t="s">
        <v>266</v>
      </c>
      <c r="C15" s="1083"/>
      <c r="D15" s="1079">
        <f>SUM(E15:G15)</f>
        <v>0</v>
      </c>
      <c r="E15" s="1094"/>
      <c r="F15" s="1095"/>
      <c r="G15" s="1095"/>
      <c r="H15" s="1096">
        <f t="shared" si="0"/>
        <v>0</v>
      </c>
      <c r="I15" s="446"/>
      <c r="J15" s="235"/>
      <c r="K15" s="235"/>
    </row>
    <row r="16" spans="1:11" s="444" customFormat="1" ht="12" customHeight="1" x14ac:dyDescent="0.2">
      <c r="A16" s="13" t="s">
        <v>121</v>
      </c>
      <c r="B16" s="524" t="s">
        <v>267</v>
      </c>
      <c r="C16" s="1083"/>
      <c r="D16" s="1097">
        <f>SUM(E16:G16)</f>
        <v>0</v>
      </c>
      <c r="E16" s="1090"/>
      <c r="F16" s="1091"/>
      <c r="G16" s="1091"/>
      <c r="H16" s="1098">
        <f t="shared" si="0"/>
        <v>0</v>
      </c>
      <c r="I16" s="217"/>
      <c r="J16" s="234"/>
      <c r="K16" s="234"/>
    </row>
    <row r="17" spans="1:11" s="444" customFormat="1" ht="12" customHeight="1" x14ac:dyDescent="0.2">
      <c r="A17" s="13" t="s">
        <v>122</v>
      </c>
      <c r="B17" s="524" t="s">
        <v>436</v>
      </c>
      <c r="C17" s="1083"/>
      <c r="D17" s="1084">
        <f>SUM(E17:G17)</f>
        <v>0</v>
      </c>
      <c r="E17" s="1090"/>
      <c r="F17" s="1091"/>
      <c r="G17" s="1091"/>
      <c r="H17" s="1087">
        <f t="shared" si="0"/>
        <v>0</v>
      </c>
      <c r="I17" s="217"/>
      <c r="J17" s="234"/>
      <c r="K17" s="234"/>
    </row>
    <row r="18" spans="1:11" s="444" customFormat="1" ht="12" customHeight="1" x14ac:dyDescent="0.2">
      <c r="A18" s="13" t="s">
        <v>123</v>
      </c>
      <c r="B18" s="524" t="s">
        <v>437</v>
      </c>
      <c r="C18" s="1083"/>
      <c r="D18" s="1084">
        <f>SUM(E18:G18)</f>
        <v>0</v>
      </c>
      <c r="E18" s="1090"/>
      <c r="F18" s="1091"/>
      <c r="G18" s="1091"/>
      <c r="H18" s="1087">
        <f t="shared" si="0"/>
        <v>0</v>
      </c>
      <c r="I18" s="217"/>
      <c r="J18" s="234"/>
      <c r="K18" s="234"/>
    </row>
    <row r="19" spans="1:11" s="444" customFormat="1" ht="12" customHeight="1" x14ac:dyDescent="0.2">
      <c r="A19" s="13" t="s">
        <v>124</v>
      </c>
      <c r="B19" s="524" t="s">
        <v>268</v>
      </c>
      <c r="C19" s="1083">
        <v>710827871</v>
      </c>
      <c r="D19" s="1084">
        <f>SUM(E19:G19)+326152588+94906504+10325405+7215044+33734217+3483000</f>
        <v>335849323</v>
      </c>
      <c r="E19" s="1085">
        <f>2285000+210000+110446000+65342000-323735435</f>
        <v>-145452435</v>
      </c>
      <c r="F19" s="1086"/>
      <c r="G19" s="1086">
        <v>5485000</v>
      </c>
      <c r="H19" s="1087">
        <f t="shared" si="0"/>
        <v>180965882</v>
      </c>
      <c r="I19" s="416">
        <f>3900000+4320000+125887110+24250000</f>
        <v>158357110</v>
      </c>
      <c r="J19" s="413">
        <v>3096237</v>
      </c>
      <c r="K19" s="237">
        <v>19512535</v>
      </c>
    </row>
    <row r="20" spans="1:11" s="444" customFormat="1" ht="12" customHeight="1" thickBot="1" x14ac:dyDescent="0.25">
      <c r="A20" s="15" t="s">
        <v>133</v>
      </c>
      <c r="B20" s="1032" t="s">
        <v>269</v>
      </c>
      <c r="C20" s="1088"/>
      <c r="D20" s="1089">
        <f>374405+16502729</f>
        <v>16877134</v>
      </c>
      <c r="E20" s="1099"/>
      <c r="F20" s="1100"/>
      <c r="G20" s="1100"/>
      <c r="H20" s="1101">
        <f t="shared" si="0"/>
        <v>399535</v>
      </c>
      <c r="I20" s="415"/>
      <c r="J20" s="308"/>
      <c r="K20" s="308">
        <v>399535</v>
      </c>
    </row>
    <row r="21" spans="1:11" s="444" customFormat="1" ht="12" customHeight="1" thickBot="1" x14ac:dyDescent="0.25">
      <c r="A21" s="19" t="s">
        <v>33</v>
      </c>
      <c r="B21" s="1030" t="s">
        <v>270</v>
      </c>
      <c r="C21" s="1093">
        <v>92052777</v>
      </c>
      <c r="D21" s="1077">
        <f>SUM(D22:D26)</f>
        <v>532260298</v>
      </c>
      <c r="E21" s="1077">
        <f>+E22+E23+E24+E25+E26</f>
        <v>-11381976</v>
      </c>
      <c r="F21" s="1076">
        <f>+F22+F23+F24+F25+F26</f>
        <v>0</v>
      </c>
      <c r="G21" s="1076">
        <f>+G22+G23+G24+G25+G26</f>
        <v>0</v>
      </c>
      <c r="H21" s="1076">
        <f t="shared" si="0"/>
        <v>13442271</v>
      </c>
      <c r="I21" s="443">
        <f>+I22+I23+I24+I25+I26</f>
        <v>13442271</v>
      </c>
      <c r="J21" s="233">
        <f>+J22+J23+J24+J25+J26</f>
        <v>0</v>
      </c>
      <c r="K21" s="233">
        <f>+K22+K23+K24+K25+K26</f>
        <v>0</v>
      </c>
    </row>
    <row r="22" spans="1:11" s="444" customFormat="1" ht="12" customHeight="1" x14ac:dyDescent="0.2">
      <c r="A22" s="14" t="s">
        <v>103</v>
      </c>
      <c r="B22" s="523" t="s">
        <v>271</v>
      </c>
      <c r="C22" s="1083">
        <v>20850665</v>
      </c>
      <c r="D22" s="1079">
        <f>SUM(E22:G22)+15690532</f>
        <v>15690532</v>
      </c>
      <c r="E22" s="1102"/>
      <c r="F22" s="1103"/>
      <c r="G22" s="1103"/>
      <c r="H22" s="1096">
        <f t="shared" si="0"/>
        <v>0</v>
      </c>
      <c r="I22" s="526"/>
      <c r="J22" s="410"/>
      <c r="K22" s="410"/>
    </row>
    <row r="23" spans="1:11" s="444" customFormat="1" ht="12" customHeight="1" x14ac:dyDescent="0.2">
      <c r="A23" s="13" t="s">
        <v>104</v>
      </c>
      <c r="B23" s="524" t="s">
        <v>272</v>
      </c>
      <c r="C23" s="1083"/>
      <c r="D23" s="1097">
        <f>SUM(E23:G23)</f>
        <v>0</v>
      </c>
      <c r="E23" s="1085"/>
      <c r="F23" s="1086"/>
      <c r="G23" s="1086"/>
      <c r="H23" s="1098">
        <f t="shared" si="0"/>
        <v>0</v>
      </c>
      <c r="I23" s="411"/>
      <c r="J23" s="237"/>
      <c r="K23" s="237"/>
    </row>
    <row r="24" spans="1:11" s="444" customFormat="1" ht="12" customHeight="1" x14ac:dyDescent="0.2">
      <c r="A24" s="13" t="s">
        <v>105</v>
      </c>
      <c r="B24" s="524" t="s">
        <v>438</v>
      </c>
      <c r="C24" s="1083"/>
      <c r="D24" s="1097">
        <f>SUM(E24:G24)</f>
        <v>0</v>
      </c>
      <c r="E24" s="1085"/>
      <c r="F24" s="1086"/>
      <c r="G24" s="1086"/>
      <c r="H24" s="1098">
        <f t="shared" si="0"/>
        <v>0</v>
      </c>
      <c r="I24" s="411"/>
      <c r="J24" s="237"/>
      <c r="K24" s="237"/>
    </row>
    <row r="25" spans="1:11" s="444" customFormat="1" ht="12" customHeight="1" x14ac:dyDescent="0.2">
      <c r="A25" s="13" t="s">
        <v>106</v>
      </c>
      <c r="B25" s="524" t="s">
        <v>439</v>
      </c>
      <c r="C25" s="1083"/>
      <c r="D25" s="1097">
        <f>SUM(E25:G25)</f>
        <v>0</v>
      </c>
      <c r="E25" s="1085"/>
      <c r="F25" s="1086"/>
      <c r="G25" s="1086"/>
      <c r="H25" s="1087">
        <f t="shared" si="0"/>
        <v>0</v>
      </c>
      <c r="I25" s="411"/>
      <c r="J25" s="237"/>
      <c r="K25" s="237"/>
    </row>
    <row r="26" spans="1:11" s="444" customFormat="1" ht="12" customHeight="1" x14ac:dyDescent="0.2">
      <c r="A26" s="13" t="s">
        <v>178</v>
      </c>
      <c r="B26" s="524" t="s">
        <v>273</v>
      </c>
      <c r="C26" s="1083">
        <v>71202112</v>
      </c>
      <c r="D26" s="1097">
        <f>SUM(E26:G26)+15179276+93705029+216916507+202150930</f>
        <v>516569766</v>
      </c>
      <c r="E26" s="1085">
        <f>3797300-15179276</f>
        <v>-11381976</v>
      </c>
      <c r="F26" s="1086"/>
      <c r="G26" s="1086"/>
      <c r="H26" s="1087">
        <f t="shared" si="0"/>
        <v>13442271</v>
      </c>
      <c r="I26" s="411">
        <f>5866130+3779393+3796748</f>
        <v>13442271</v>
      </c>
      <c r="J26" s="237"/>
      <c r="K26" s="237"/>
    </row>
    <row r="27" spans="1:11" s="444" customFormat="1" ht="12" customHeight="1" thickBot="1" x14ac:dyDescent="0.25">
      <c r="A27" s="15" t="s">
        <v>179</v>
      </c>
      <c r="B27" s="525" t="s">
        <v>274</v>
      </c>
      <c r="C27" s="1088">
        <v>71149405</v>
      </c>
      <c r="D27" s="1104">
        <f>SUM(E27:G27)+91545029+214128350+202150930</f>
        <v>511621609</v>
      </c>
      <c r="E27" s="1099">
        <v>3797300</v>
      </c>
      <c r="F27" s="1100"/>
      <c r="G27" s="1100"/>
      <c r="H27" s="1101">
        <f t="shared" si="0"/>
        <v>13442271</v>
      </c>
      <c r="I27" s="415">
        <f>9645523+3796748</f>
        <v>13442271</v>
      </c>
      <c r="J27" s="308"/>
      <c r="K27" s="308"/>
    </row>
    <row r="28" spans="1:11" s="444" customFormat="1" ht="12" customHeight="1" thickBot="1" x14ac:dyDescent="0.25">
      <c r="A28" s="19" t="s">
        <v>180</v>
      </c>
      <c r="B28" s="1030" t="s">
        <v>275</v>
      </c>
      <c r="C28" s="1093">
        <f>C29+C33+C34+C35</f>
        <v>356945262</v>
      </c>
      <c r="D28" s="1077">
        <f>SUM(D29)+SUM(D32:D35)</f>
        <v>366490000</v>
      </c>
      <c r="E28" s="1105">
        <f>+E29+E33+E34+E35</f>
        <v>329390000</v>
      </c>
      <c r="F28" s="1106">
        <f>+F29+F33+F34+F35</f>
        <v>0</v>
      </c>
      <c r="G28" s="1106">
        <f>+G29+G33+G34+G35</f>
        <v>0</v>
      </c>
      <c r="H28" s="1076">
        <f t="shared" si="0"/>
        <v>352658000</v>
      </c>
      <c r="I28" s="448">
        <f>+I29+I33+I34+I35</f>
        <v>352658000</v>
      </c>
      <c r="J28" s="238">
        <f>+J29+J33+J34+J35</f>
        <v>0</v>
      </c>
      <c r="K28" s="238">
        <f>+K29+K33+K34+K35</f>
        <v>0</v>
      </c>
    </row>
    <row r="29" spans="1:11" s="444" customFormat="1" ht="12" customHeight="1" x14ac:dyDescent="0.2">
      <c r="A29" s="14" t="s">
        <v>276</v>
      </c>
      <c r="B29" s="523" t="s">
        <v>7</v>
      </c>
      <c r="C29" s="1083">
        <f>SUM(C30:C32)</f>
        <v>320366432</v>
      </c>
      <c r="D29" s="1079">
        <f>SUM(D30:D31)</f>
        <v>327830000</v>
      </c>
      <c r="E29" s="1079">
        <f>SUM(E30:E32)</f>
        <v>292830000</v>
      </c>
      <c r="F29" s="1107"/>
      <c r="G29" s="1107"/>
      <c r="H29" s="1082">
        <f t="shared" si="0"/>
        <v>308654000</v>
      </c>
      <c r="I29" s="527">
        <f>SUM(I30:I32)</f>
        <v>308654000</v>
      </c>
      <c r="J29" s="314"/>
      <c r="K29" s="314"/>
    </row>
    <row r="30" spans="1:11" s="444" customFormat="1" ht="12" customHeight="1" x14ac:dyDescent="0.2">
      <c r="A30" s="13" t="s">
        <v>279</v>
      </c>
      <c r="B30" s="524" t="s">
        <v>9</v>
      </c>
      <c r="C30" s="1083">
        <v>78837793</v>
      </c>
      <c r="D30" s="1097">
        <f>SUM(E30:G30)</f>
        <v>78990000</v>
      </c>
      <c r="E30" s="1090">
        <f>8990000+70000000</f>
        <v>78990000</v>
      </c>
      <c r="F30" s="1091"/>
      <c r="G30" s="1091"/>
      <c r="H30" s="1087">
        <f t="shared" si="0"/>
        <v>77500000</v>
      </c>
      <c r="I30" s="217">
        <f>7500000+70000000</f>
        <v>77500000</v>
      </c>
      <c r="J30" s="234"/>
      <c r="K30" s="234"/>
    </row>
    <row r="31" spans="1:11" s="444" customFormat="1" ht="12" customHeight="1" x14ac:dyDescent="0.2">
      <c r="A31" s="13" t="s">
        <v>280</v>
      </c>
      <c r="B31" s="524" t="s">
        <v>658</v>
      </c>
      <c r="C31" s="1083">
        <v>241343096</v>
      </c>
      <c r="D31" s="1084">
        <f>SUM(E31:G31)+35000000</f>
        <v>248840000</v>
      </c>
      <c r="E31" s="1090">
        <f>203840000+10000000</f>
        <v>213840000</v>
      </c>
      <c r="F31" s="1091"/>
      <c r="G31" s="1091"/>
      <c r="H31" s="1087">
        <f t="shared" si="0"/>
        <v>231154000</v>
      </c>
      <c r="I31" s="217">
        <v>231154000</v>
      </c>
      <c r="J31" s="234"/>
      <c r="K31" s="234"/>
    </row>
    <row r="32" spans="1:11" s="444" customFormat="1" ht="12" customHeight="1" x14ac:dyDescent="0.2">
      <c r="A32" s="13" t="s">
        <v>281</v>
      </c>
      <c r="B32" s="524" t="s">
        <v>8</v>
      </c>
      <c r="C32" s="1083">
        <v>185543</v>
      </c>
      <c r="D32" s="1097">
        <f>SUM(E32:G32)</f>
        <v>0</v>
      </c>
      <c r="E32" s="1085"/>
      <c r="F32" s="1086"/>
      <c r="G32" s="1086"/>
      <c r="H32" s="1087">
        <f t="shared" si="0"/>
        <v>0</v>
      </c>
      <c r="I32" s="411"/>
      <c r="J32" s="237"/>
      <c r="K32" s="237"/>
    </row>
    <row r="33" spans="1:11" s="444" customFormat="1" ht="12" customHeight="1" x14ac:dyDescent="0.2">
      <c r="A33" s="13" t="s">
        <v>657</v>
      </c>
      <c r="B33" s="524" t="s">
        <v>284</v>
      </c>
      <c r="C33" s="1083">
        <v>27707080</v>
      </c>
      <c r="D33" s="1097">
        <f>SUM(E33:G33)</f>
        <v>27000000</v>
      </c>
      <c r="E33" s="1090">
        <f>27000000</f>
        <v>27000000</v>
      </c>
      <c r="F33" s="1091"/>
      <c r="G33" s="1091"/>
      <c r="H33" s="1087">
        <f t="shared" si="0"/>
        <v>28000000</v>
      </c>
      <c r="I33" s="217">
        <v>28000000</v>
      </c>
      <c r="J33" s="234"/>
      <c r="K33" s="234"/>
    </row>
    <row r="34" spans="1:11" s="444" customFormat="1" ht="12" customHeight="1" x14ac:dyDescent="0.2">
      <c r="A34" s="13" t="s">
        <v>673</v>
      </c>
      <c r="B34" s="524" t="s">
        <v>285</v>
      </c>
      <c r="C34" s="1083">
        <v>3865671</v>
      </c>
      <c r="D34" s="1097">
        <f>SUM(E34:G34)-4000000</f>
        <v>60000</v>
      </c>
      <c r="E34" s="1090">
        <v>4060000</v>
      </c>
      <c r="F34" s="1091"/>
      <c r="G34" s="1091"/>
      <c r="H34" s="1087">
        <f t="shared" si="0"/>
        <v>4504000</v>
      </c>
      <c r="I34" s="217">
        <f>4000+4500000</f>
        <v>4504000</v>
      </c>
      <c r="J34" s="234"/>
      <c r="K34" s="234"/>
    </row>
    <row r="35" spans="1:11" s="444" customFormat="1" ht="12" customHeight="1" thickBot="1" x14ac:dyDescent="0.25">
      <c r="A35" s="15" t="s">
        <v>674</v>
      </c>
      <c r="B35" s="525" t="s">
        <v>286</v>
      </c>
      <c r="C35" s="1088">
        <v>5006079</v>
      </c>
      <c r="D35" s="1104">
        <f>SUM(E35:G35)+4000000+2100000</f>
        <v>11600000</v>
      </c>
      <c r="E35" s="1099">
        <v>5500000</v>
      </c>
      <c r="F35" s="1100"/>
      <c r="G35" s="1100"/>
      <c r="H35" s="1101">
        <f t="shared" si="0"/>
        <v>11500000</v>
      </c>
      <c r="I35" s="415">
        <f>1500000+2000000+1000000+7000000</f>
        <v>11500000</v>
      </c>
      <c r="J35" s="308"/>
      <c r="K35" s="308"/>
    </row>
    <row r="36" spans="1:11" s="444" customFormat="1" ht="12" customHeight="1" thickBot="1" x14ac:dyDescent="0.25">
      <c r="A36" s="19" t="s">
        <v>35</v>
      </c>
      <c r="B36" s="1030" t="s">
        <v>554</v>
      </c>
      <c r="C36" s="1093">
        <f>SUM(C37:C47)</f>
        <v>438590106</v>
      </c>
      <c r="D36" s="1077">
        <f>SUM(D37:D47)</f>
        <v>464679145</v>
      </c>
      <c r="E36" s="1077">
        <f>SUM(E37:E47)</f>
        <v>54395907</v>
      </c>
      <c r="F36" s="1076">
        <f>SUM(F37:F47)</f>
        <v>9416500</v>
      </c>
      <c r="G36" s="1076">
        <f>SUM(G37:G47)</f>
        <v>385266178</v>
      </c>
      <c r="H36" s="1076">
        <f t="shared" si="0"/>
        <v>431324867</v>
      </c>
      <c r="I36" s="443">
        <f>SUM(I37:I47)</f>
        <v>40284669</v>
      </c>
      <c r="J36" s="233">
        <f>SUM(J37:J47)</f>
        <v>8419440</v>
      </c>
      <c r="K36" s="233">
        <f>SUM(K37:K47)</f>
        <v>382620758</v>
      </c>
    </row>
    <row r="37" spans="1:11" s="444" customFormat="1" ht="12" customHeight="1" x14ac:dyDescent="0.2">
      <c r="A37" s="14" t="s">
        <v>107</v>
      </c>
      <c r="B37" s="523" t="s">
        <v>289</v>
      </c>
      <c r="C37" s="1083">
        <v>13801743</v>
      </c>
      <c r="D37" s="1108">
        <f>SUM(E37:G37)+5500000+275371-130000+3954000</f>
        <v>19744849</v>
      </c>
      <c r="E37" s="1080">
        <f>3937000+4000000+5000000-2941522</f>
        <v>9995478</v>
      </c>
      <c r="F37" s="1081"/>
      <c r="G37" s="1081">
        <v>150000</v>
      </c>
      <c r="H37" s="1082">
        <f t="shared" si="0"/>
        <v>12179000</v>
      </c>
      <c r="I37" s="451">
        <v>12159000</v>
      </c>
      <c r="J37" s="357"/>
      <c r="K37" s="357">
        <v>20000</v>
      </c>
    </row>
    <row r="38" spans="1:11" s="444" customFormat="1" ht="12" customHeight="1" x14ac:dyDescent="0.2">
      <c r="A38" s="13" t="s">
        <v>108</v>
      </c>
      <c r="B38" s="524" t="s">
        <v>290</v>
      </c>
      <c r="C38" s="1083">
        <v>92246962</v>
      </c>
      <c r="D38" s="1084">
        <f>SUM(E38:G38)+1813568-195228+4055000-5885856+1800934</f>
        <v>96708620</v>
      </c>
      <c r="E38" s="1085">
        <f>100000+12004000+160000+7128864</f>
        <v>19392864</v>
      </c>
      <c r="F38" s="1086">
        <v>7533500</v>
      </c>
      <c r="G38" s="1081">
        <v>68193838</v>
      </c>
      <c r="H38" s="1087">
        <f t="shared" si="0"/>
        <v>72301925</v>
      </c>
      <c r="I38" s="411">
        <f>13910169+100000</f>
        <v>14010169</v>
      </c>
      <c r="J38" s="237">
        <f>500000+1198440+380000+4150000</f>
        <v>6228440</v>
      </c>
      <c r="K38" s="357">
        <v>52063316</v>
      </c>
    </row>
    <row r="39" spans="1:11" s="444" customFormat="1" ht="12" customHeight="1" x14ac:dyDescent="0.2">
      <c r="A39" s="13" t="s">
        <v>109</v>
      </c>
      <c r="B39" s="524" t="s">
        <v>291</v>
      </c>
      <c r="C39" s="1083">
        <v>87133464</v>
      </c>
      <c r="D39" s="1084">
        <f>SUM(E39:G39)+1061599-195228+364027-3376000-189000-42520+2246520</f>
        <v>95492738</v>
      </c>
      <c r="E39" s="1085">
        <f>8458000+947000</f>
        <v>9405000</v>
      </c>
      <c r="F39" s="1086">
        <v>500000</v>
      </c>
      <c r="G39" s="1081">
        <v>85718340</v>
      </c>
      <c r="H39" s="1087">
        <f t="shared" si="0"/>
        <v>103017000</v>
      </c>
      <c r="I39" s="411">
        <f>500000+300000+50000+1400000+947000+300000</f>
        <v>3497000</v>
      </c>
      <c r="J39" s="237">
        <v>300000</v>
      </c>
      <c r="K39" s="357">
        <v>99220000</v>
      </c>
    </row>
    <row r="40" spans="1:11" s="444" customFormat="1" ht="12" customHeight="1" x14ac:dyDescent="0.2">
      <c r="A40" s="13" t="s">
        <v>182</v>
      </c>
      <c r="B40" s="524" t="s">
        <v>292</v>
      </c>
      <c r="C40" s="1083">
        <v>7452660</v>
      </c>
      <c r="D40" s="1084">
        <f>SUM(E40:G40)</f>
        <v>430000</v>
      </c>
      <c r="E40" s="1085">
        <f>430000</f>
        <v>430000</v>
      </c>
      <c r="F40" s="1086"/>
      <c r="G40" s="1081"/>
      <c r="H40" s="1087">
        <f t="shared" si="0"/>
        <v>430000</v>
      </c>
      <c r="I40" s="411">
        <v>430000</v>
      </c>
      <c r="J40" s="237"/>
      <c r="K40" s="357"/>
    </row>
    <row r="41" spans="1:11" s="444" customFormat="1" ht="12" customHeight="1" x14ac:dyDescent="0.2">
      <c r="A41" s="13" t="s">
        <v>183</v>
      </c>
      <c r="B41" s="524" t="s">
        <v>293</v>
      </c>
      <c r="C41" s="1083">
        <v>175650577</v>
      </c>
      <c r="D41" s="1084">
        <f>SUM(E41:G41)-1800934</f>
        <v>176438468</v>
      </c>
      <c r="E41" s="1085"/>
      <c r="F41" s="1086"/>
      <c r="G41" s="1081">
        <f>182811402-4572000</f>
        <v>178239402</v>
      </c>
      <c r="H41" s="1087">
        <f t="shared" si="0"/>
        <v>179085653</v>
      </c>
      <c r="I41" s="411"/>
      <c r="J41" s="237"/>
      <c r="K41" s="357">
        <v>179085653</v>
      </c>
    </row>
    <row r="42" spans="1:11" s="444" customFormat="1" ht="12" customHeight="1" x14ac:dyDescent="0.2">
      <c r="A42" s="13" t="s">
        <v>184</v>
      </c>
      <c r="B42" s="524" t="s">
        <v>294</v>
      </c>
      <c r="C42" s="1083">
        <v>40626143</v>
      </c>
      <c r="D42" s="1084">
        <f>SUM(E42:G42)+270000+1485000+976640+195228+195228+246410+2609072+189000+42520-2463811</f>
        <v>50887450</v>
      </c>
      <c r="E42" s="1085">
        <f>1063000+3242000+5853000+44000+378000+600000+1350000+1408565</f>
        <v>13938565</v>
      </c>
      <c r="F42" s="1086">
        <v>1283000</v>
      </c>
      <c r="G42" s="1081">
        <v>31920598</v>
      </c>
      <c r="H42" s="1087">
        <f t="shared" si="0"/>
        <v>44810289</v>
      </c>
      <c r="I42" s="411">
        <f>3283000+5162000+81000+13500+378000+81000</f>
        <v>8998500</v>
      </c>
      <c r="J42" s="237">
        <f>135000+324000+103000+1229000</f>
        <v>1791000</v>
      </c>
      <c r="K42" s="357">
        <v>34020789</v>
      </c>
    </row>
    <row r="43" spans="1:11" s="444" customFormat="1" ht="12" customHeight="1" x14ac:dyDescent="0.2">
      <c r="A43" s="13" t="s">
        <v>185</v>
      </c>
      <c r="B43" s="524" t="s">
        <v>295</v>
      </c>
      <c r="C43" s="1083">
        <v>19170000</v>
      </c>
      <c r="D43" s="1084">
        <f>SUM(E43:G43)-1286000+1924793</f>
        <v>21672793</v>
      </c>
      <c r="E43" s="1085"/>
      <c r="F43" s="1086"/>
      <c r="G43" s="1081">
        <v>21034000</v>
      </c>
      <c r="H43" s="1087">
        <f t="shared" si="0"/>
        <v>18210000</v>
      </c>
      <c r="I43" s="411"/>
      <c r="J43" s="237"/>
      <c r="K43" s="357">
        <v>18210000</v>
      </c>
    </row>
    <row r="44" spans="1:11" s="444" customFormat="1" ht="12" customHeight="1" x14ac:dyDescent="0.2">
      <c r="A44" s="13" t="s">
        <v>186</v>
      </c>
      <c r="B44" s="524" t="s">
        <v>675</v>
      </c>
      <c r="C44" s="1083">
        <v>132091</v>
      </c>
      <c r="D44" s="1084">
        <f>SUM(E44:G44)</f>
        <v>40000</v>
      </c>
      <c r="E44" s="1085">
        <v>30000</v>
      </c>
      <c r="F44" s="1086"/>
      <c r="G44" s="1081">
        <v>10000</v>
      </c>
      <c r="H44" s="1087">
        <f t="shared" si="0"/>
        <v>31000</v>
      </c>
      <c r="I44" s="411">
        <v>30000</v>
      </c>
      <c r="J44" s="237"/>
      <c r="K44" s="357">
        <v>1000</v>
      </c>
    </row>
    <row r="45" spans="1:11" s="444" customFormat="1" ht="12" customHeight="1" x14ac:dyDescent="0.2">
      <c r="A45" s="13" t="s">
        <v>287</v>
      </c>
      <c r="B45" s="524" t="s">
        <v>297</v>
      </c>
      <c r="C45" s="1083"/>
      <c r="D45" s="1084">
        <f>SUM(E45:G45)</f>
        <v>0</v>
      </c>
      <c r="E45" s="1085"/>
      <c r="F45" s="1086"/>
      <c r="G45" s="1081"/>
      <c r="H45" s="1087">
        <f t="shared" si="0"/>
        <v>0</v>
      </c>
      <c r="I45" s="411"/>
      <c r="J45" s="237"/>
      <c r="K45" s="357"/>
    </row>
    <row r="46" spans="1:11" s="444" customFormat="1" ht="12" customHeight="1" x14ac:dyDescent="0.2">
      <c r="A46" s="15" t="s">
        <v>288</v>
      </c>
      <c r="B46" s="525" t="s">
        <v>555</v>
      </c>
      <c r="C46" s="1083">
        <v>812271</v>
      </c>
      <c r="D46" s="1097">
        <f>SUM(E46:G46)</f>
        <v>500000</v>
      </c>
      <c r="E46" s="1099">
        <f>500000</f>
        <v>500000</v>
      </c>
      <c r="F46" s="1100"/>
      <c r="G46" s="1081"/>
      <c r="H46" s="1087">
        <f t="shared" si="0"/>
        <v>500000</v>
      </c>
      <c r="I46" s="415">
        <v>500000</v>
      </c>
      <c r="J46" s="308"/>
      <c r="K46" s="357"/>
    </row>
    <row r="47" spans="1:11" s="444" customFormat="1" ht="12" customHeight="1" thickBot="1" x14ac:dyDescent="0.25">
      <c r="A47" s="15" t="s">
        <v>556</v>
      </c>
      <c r="B47" s="1032" t="s">
        <v>298</v>
      </c>
      <c r="C47" s="1088">
        <v>1564195</v>
      </c>
      <c r="D47" s="1089">
        <f>SUM(E47:G47)+200318+416514+1343395</f>
        <v>2764227</v>
      </c>
      <c r="E47" s="1099">
        <f>704000</f>
        <v>704000</v>
      </c>
      <c r="F47" s="1100">
        <v>100000</v>
      </c>
      <c r="G47" s="1081"/>
      <c r="H47" s="1101">
        <f t="shared" si="0"/>
        <v>760000</v>
      </c>
      <c r="I47" s="415">
        <f>60000+600000</f>
        <v>660000</v>
      </c>
      <c r="J47" s="308">
        <v>100000</v>
      </c>
      <c r="K47" s="357"/>
    </row>
    <row r="48" spans="1:11" s="444" customFormat="1" ht="12" customHeight="1" thickBot="1" x14ac:dyDescent="0.25">
      <c r="A48" s="19" t="s">
        <v>36</v>
      </c>
      <c r="B48" s="1030" t="s">
        <v>299</v>
      </c>
      <c r="C48" s="1093">
        <f>SUM(C49:C53)</f>
        <v>1786175</v>
      </c>
      <c r="D48" s="1077">
        <f>SUM(D49:D53)</f>
        <v>47429000</v>
      </c>
      <c r="E48" s="1077">
        <f>SUM(E49:E53)</f>
        <v>25179000</v>
      </c>
      <c r="F48" s="1076">
        <f>SUM(F49:F53)</f>
        <v>0</v>
      </c>
      <c r="G48" s="1076">
        <f>SUM(G49:G53)</f>
        <v>0</v>
      </c>
      <c r="H48" s="1076">
        <f t="shared" si="0"/>
        <v>30332500</v>
      </c>
      <c r="I48" s="443">
        <f>SUM(I49:I53)</f>
        <v>30332500</v>
      </c>
      <c r="J48" s="233">
        <f>SUM(J49:J53)</f>
        <v>0</v>
      </c>
      <c r="K48" s="233">
        <f>SUM(K49:K53)</f>
        <v>0</v>
      </c>
    </row>
    <row r="49" spans="1:11" s="444" customFormat="1" ht="12" customHeight="1" x14ac:dyDescent="0.2">
      <c r="A49" s="14" t="s">
        <v>110</v>
      </c>
      <c r="B49" s="523" t="s">
        <v>303</v>
      </c>
      <c r="C49" s="1083"/>
      <c r="D49" s="1079">
        <f>SUM(E49:G49)</f>
        <v>0</v>
      </c>
      <c r="E49" s="1080"/>
      <c r="F49" s="1081"/>
      <c r="G49" s="1081"/>
      <c r="H49" s="1096">
        <f t="shared" si="0"/>
        <v>0</v>
      </c>
      <c r="I49" s="451"/>
      <c r="J49" s="357"/>
      <c r="K49" s="357"/>
    </row>
    <row r="50" spans="1:11" s="444" customFormat="1" ht="12" customHeight="1" x14ac:dyDescent="0.2">
      <c r="A50" s="13" t="s">
        <v>111</v>
      </c>
      <c r="B50" s="524" t="s">
        <v>304</v>
      </c>
      <c r="C50" s="1083">
        <v>778000</v>
      </c>
      <c r="D50" s="1097">
        <f>SUM(E50:G50)+22000000</f>
        <v>47179000</v>
      </c>
      <c r="E50" s="1085">
        <f>25179000</f>
        <v>25179000</v>
      </c>
      <c r="F50" s="1086"/>
      <c r="G50" s="1086"/>
      <c r="H50" s="1087">
        <f t="shared" si="0"/>
        <v>30332500</v>
      </c>
      <c r="I50" s="411">
        <v>30332500</v>
      </c>
      <c r="J50" s="237"/>
      <c r="K50" s="237"/>
    </row>
    <row r="51" spans="1:11" s="444" customFormat="1" ht="12" customHeight="1" x14ac:dyDescent="0.2">
      <c r="A51" s="13" t="s">
        <v>300</v>
      </c>
      <c r="B51" s="524" t="s">
        <v>305</v>
      </c>
      <c r="C51" s="1083">
        <v>1008175</v>
      </c>
      <c r="D51" s="1097">
        <v>250000</v>
      </c>
      <c r="E51" s="1085"/>
      <c r="F51" s="1086"/>
      <c r="G51" s="1086"/>
      <c r="H51" s="1098">
        <f t="shared" si="0"/>
        <v>0</v>
      </c>
      <c r="I51" s="411"/>
      <c r="J51" s="237"/>
      <c r="K51" s="237"/>
    </row>
    <row r="52" spans="1:11" s="444" customFormat="1" ht="12" customHeight="1" x14ac:dyDescent="0.2">
      <c r="A52" s="13" t="s">
        <v>301</v>
      </c>
      <c r="B52" s="524" t="s">
        <v>306</v>
      </c>
      <c r="C52" s="1083"/>
      <c r="D52" s="1097">
        <f>SUM(E52:G52)</f>
        <v>0</v>
      </c>
      <c r="E52" s="1085"/>
      <c r="F52" s="1086"/>
      <c r="G52" s="1086"/>
      <c r="H52" s="1098">
        <f t="shared" si="0"/>
        <v>0</v>
      </c>
      <c r="I52" s="411"/>
      <c r="J52" s="237"/>
      <c r="K52" s="237"/>
    </row>
    <row r="53" spans="1:11" s="444" customFormat="1" ht="12" customHeight="1" thickBot="1" x14ac:dyDescent="0.25">
      <c r="A53" s="15" t="s">
        <v>302</v>
      </c>
      <c r="B53" s="1032" t="s">
        <v>307</v>
      </c>
      <c r="C53" s="1088"/>
      <c r="D53" s="1104">
        <f>SUM(E53:G53)</f>
        <v>0</v>
      </c>
      <c r="E53" s="1099"/>
      <c r="F53" s="1100"/>
      <c r="G53" s="1100"/>
      <c r="H53" s="1092">
        <f t="shared" si="0"/>
        <v>0</v>
      </c>
      <c r="I53" s="415"/>
      <c r="J53" s="308"/>
      <c r="K53" s="308"/>
    </row>
    <row r="54" spans="1:11" s="444" customFormat="1" ht="12" customHeight="1" thickBot="1" x14ac:dyDescent="0.25">
      <c r="A54" s="19" t="s">
        <v>187</v>
      </c>
      <c r="B54" s="1030" t="s">
        <v>308</v>
      </c>
      <c r="C54" s="1093">
        <f>SUM(C55:C57)</f>
        <v>11113183</v>
      </c>
      <c r="D54" s="1077">
        <f>SUM(D55:D57)</f>
        <v>24244433</v>
      </c>
      <c r="E54" s="1077">
        <f>SUM(E55:E57)</f>
        <v>6164433</v>
      </c>
      <c r="F54" s="1076">
        <f>SUM(F55:F57)</f>
        <v>0</v>
      </c>
      <c r="G54" s="1076">
        <f>SUM(G55:G57)</f>
        <v>0</v>
      </c>
      <c r="H54" s="1076">
        <f t="shared" si="0"/>
        <v>4766000</v>
      </c>
      <c r="I54" s="443">
        <f>SUM(I55:I57)</f>
        <v>4766000</v>
      </c>
      <c r="J54" s="233">
        <f>SUM(J55:J57)</f>
        <v>0</v>
      </c>
      <c r="K54" s="233">
        <f>SUM(K55:K57)</f>
        <v>0</v>
      </c>
    </row>
    <row r="55" spans="1:11" s="444" customFormat="1" ht="12" customHeight="1" x14ac:dyDescent="0.2">
      <c r="A55" s="14" t="s">
        <v>112</v>
      </c>
      <c r="B55" s="523" t="s">
        <v>309</v>
      </c>
      <c r="C55" s="1083"/>
      <c r="D55" s="1108">
        <f>SUM(E55:G55)</f>
        <v>0</v>
      </c>
      <c r="E55" s="1094"/>
      <c r="F55" s="1095"/>
      <c r="G55" s="1095"/>
      <c r="H55" s="1096">
        <f t="shared" si="0"/>
        <v>0</v>
      </c>
      <c r="I55" s="446"/>
      <c r="J55" s="235"/>
      <c r="K55" s="235"/>
    </row>
    <row r="56" spans="1:11" s="444" customFormat="1" ht="12" customHeight="1" x14ac:dyDescent="0.2">
      <c r="A56" s="13" t="s">
        <v>113</v>
      </c>
      <c r="B56" s="524" t="s">
        <v>440</v>
      </c>
      <c r="C56" s="1083">
        <v>1170155</v>
      </c>
      <c r="D56" s="1084">
        <f>SUM(E56:G56)+18000000</f>
        <v>19949000</v>
      </c>
      <c r="E56" s="1085">
        <f>383000+1566000</f>
        <v>1949000</v>
      </c>
      <c r="F56" s="1086"/>
      <c r="G56" s="1086"/>
      <c r="H56" s="1087">
        <f t="shared" si="0"/>
        <v>1866000</v>
      </c>
      <c r="I56" s="411">
        <f>1566000+300000</f>
        <v>1866000</v>
      </c>
      <c r="J56" s="237"/>
      <c r="K56" s="237"/>
    </row>
    <row r="57" spans="1:11" s="444" customFormat="1" ht="12" customHeight="1" x14ac:dyDescent="0.2">
      <c r="A57" s="13" t="s">
        <v>312</v>
      </c>
      <c r="B57" s="524" t="s">
        <v>310</v>
      </c>
      <c r="C57" s="1083">
        <v>9943028</v>
      </c>
      <c r="D57" s="1084">
        <f>SUM(E57:G57)+80000</f>
        <v>4295433</v>
      </c>
      <c r="E57" s="1085">
        <f>4075000+140433</f>
        <v>4215433</v>
      </c>
      <c r="F57" s="1086"/>
      <c r="G57" s="1086"/>
      <c r="H57" s="1087">
        <f t="shared" si="0"/>
        <v>2900000</v>
      </c>
      <c r="I57" s="411">
        <v>2900000</v>
      </c>
      <c r="J57" s="237"/>
      <c r="K57" s="237"/>
    </row>
    <row r="58" spans="1:11" s="444" customFormat="1" ht="12" customHeight="1" thickBot="1" x14ac:dyDescent="0.25">
      <c r="A58" s="15" t="s">
        <v>313</v>
      </c>
      <c r="B58" s="1032" t="s">
        <v>311</v>
      </c>
      <c r="C58" s="1088"/>
      <c r="D58" s="1104">
        <f>SUM(E58:G58)</f>
        <v>0</v>
      </c>
      <c r="E58" s="1109"/>
      <c r="F58" s="1110"/>
      <c r="G58" s="1110"/>
      <c r="H58" s="1092">
        <f t="shared" si="0"/>
        <v>0</v>
      </c>
      <c r="I58" s="218"/>
      <c r="J58" s="236"/>
      <c r="K58" s="236"/>
    </row>
    <row r="59" spans="1:11" s="444" customFormat="1" ht="12" customHeight="1" thickBot="1" x14ac:dyDescent="0.25">
      <c r="A59" s="19" t="s">
        <v>38</v>
      </c>
      <c r="B59" s="1033" t="s">
        <v>314</v>
      </c>
      <c r="C59" s="1093">
        <f>SUM(C60:C62)</f>
        <v>3841537</v>
      </c>
      <c r="D59" s="1077">
        <f>SUM(D60:D62)</f>
        <v>1400000</v>
      </c>
      <c r="E59" s="1077">
        <f>SUM(E60:E62)</f>
        <v>0</v>
      </c>
      <c r="F59" s="1076">
        <f>SUM(F60:F62)</f>
        <v>0</v>
      </c>
      <c r="G59" s="1076">
        <f>SUM(G60:G62)</f>
        <v>0</v>
      </c>
      <c r="H59" s="1076">
        <f t="shared" si="0"/>
        <v>0</v>
      </c>
      <c r="I59" s="443">
        <f>SUM(I60:I62)</f>
        <v>0</v>
      </c>
      <c r="J59" s="233">
        <f>SUM(J60:J62)</f>
        <v>0</v>
      </c>
      <c r="K59" s="233">
        <f>SUM(K60:K62)</f>
        <v>0</v>
      </c>
    </row>
    <row r="60" spans="1:11" s="444" customFormat="1" ht="12" customHeight="1" x14ac:dyDescent="0.2">
      <c r="A60" s="14" t="s">
        <v>188</v>
      </c>
      <c r="B60" s="523" t="s">
        <v>316</v>
      </c>
      <c r="C60" s="1083"/>
      <c r="D60" s="1108">
        <f>SUM(E60:G60)</f>
        <v>0</v>
      </c>
      <c r="E60" s="1085"/>
      <c r="F60" s="1086"/>
      <c r="G60" s="1086"/>
      <c r="H60" s="1096">
        <f t="shared" si="0"/>
        <v>0</v>
      </c>
      <c r="I60" s="411"/>
      <c r="J60" s="237"/>
      <c r="K60" s="237"/>
    </row>
    <row r="61" spans="1:11" s="444" customFormat="1" ht="12" customHeight="1" x14ac:dyDescent="0.2">
      <c r="A61" s="13" t="s">
        <v>189</v>
      </c>
      <c r="B61" s="524" t="s">
        <v>441</v>
      </c>
      <c r="C61" s="1083">
        <v>13837</v>
      </c>
      <c r="D61" s="1084">
        <f>SUM(E61:G61)</f>
        <v>0</v>
      </c>
      <c r="E61" s="1085"/>
      <c r="F61" s="1086"/>
      <c r="G61" s="1086"/>
      <c r="H61" s="1098">
        <f t="shared" si="0"/>
        <v>0</v>
      </c>
      <c r="I61" s="411"/>
      <c r="J61" s="237"/>
      <c r="K61" s="237"/>
    </row>
    <row r="62" spans="1:11" s="444" customFormat="1" ht="12" customHeight="1" x14ac:dyDescent="0.2">
      <c r="A62" s="13" t="s">
        <v>237</v>
      </c>
      <c r="B62" s="524" t="s">
        <v>317</v>
      </c>
      <c r="C62" s="1083">
        <v>3827700</v>
      </c>
      <c r="D62" s="1084">
        <f>1200000+200000</f>
        <v>1400000</v>
      </c>
      <c r="E62" s="1085"/>
      <c r="F62" s="1086"/>
      <c r="G62" s="1086"/>
      <c r="H62" s="1098">
        <f t="shared" si="0"/>
        <v>0</v>
      </c>
      <c r="I62" s="411"/>
      <c r="J62" s="237"/>
      <c r="K62" s="237"/>
    </row>
    <row r="63" spans="1:11" s="444" customFormat="1" ht="12" customHeight="1" thickBot="1" x14ac:dyDescent="0.25">
      <c r="A63" s="15" t="s">
        <v>315</v>
      </c>
      <c r="B63" s="1032" t="s">
        <v>318</v>
      </c>
      <c r="C63" s="1088"/>
      <c r="D63" s="1089">
        <f>SUM(E63:G63)</f>
        <v>0</v>
      </c>
      <c r="E63" s="1085"/>
      <c r="F63" s="1086"/>
      <c r="G63" s="1086"/>
      <c r="H63" s="1092">
        <f t="shared" si="0"/>
        <v>0</v>
      </c>
      <c r="I63" s="411"/>
      <c r="J63" s="237"/>
      <c r="K63" s="237"/>
    </row>
    <row r="64" spans="1:11" s="444" customFormat="1" ht="12" customHeight="1" thickBot="1" x14ac:dyDescent="0.25">
      <c r="A64" s="392" t="s">
        <v>557</v>
      </c>
      <c r="B64" s="1030" t="s">
        <v>319</v>
      </c>
      <c r="C64" s="1077">
        <f>C59+C54+C48+C36+C28+C21+C14+C7</f>
        <v>2639272060</v>
      </c>
      <c r="D64" s="1077">
        <f>D59+D54+D48+D36+D28+D21+D14+D7</f>
        <v>2929720479</v>
      </c>
      <c r="E64" s="1105">
        <f>+E7+E14+E21+E28+E36+E48+E54+E59</f>
        <v>1391439714</v>
      </c>
      <c r="F64" s="1106">
        <f>+F7+F14+F21+F28+F36+F48+F54+F59</f>
        <v>9416500</v>
      </c>
      <c r="G64" s="1106">
        <f>+G7+G14+G21+G28+G36+G48+G54+G59</f>
        <v>390751178</v>
      </c>
      <c r="H64" s="1076">
        <f t="shared" si="0"/>
        <v>2331070988</v>
      </c>
      <c r="I64" s="448">
        <f>+I7+I14+I21+I28+I36+I48+I54+I59</f>
        <v>1917422018</v>
      </c>
      <c r="J64" s="238">
        <f>+J7+J14+J21+J28+J36+J48+J54+J59</f>
        <v>11515677</v>
      </c>
      <c r="K64" s="238">
        <f>+K7+K14+K21+K28+K36+K48+K54+K59</f>
        <v>402133293</v>
      </c>
    </row>
    <row r="65" spans="1:11" s="444" customFormat="1" ht="12" customHeight="1" thickBot="1" x14ac:dyDescent="0.25">
      <c r="A65" s="393" t="s">
        <v>320</v>
      </c>
      <c r="B65" s="1033" t="s">
        <v>676</v>
      </c>
      <c r="C65" s="1111">
        <f>SUM(C66:C68)</f>
        <v>20303000</v>
      </c>
      <c r="D65" s="1112">
        <f>SUM(D66:D68)</f>
        <v>187500000</v>
      </c>
      <c r="E65" s="1077">
        <f>SUM(E66:E68)</f>
        <v>144100000</v>
      </c>
      <c r="F65" s="1076">
        <f>SUM(F66:F68)</f>
        <v>0</v>
      </c>
      <c r="G65" s="1076">
        <f>SUM(G66:G68)</f>
        <v>0</v>
      </c>
      <c r="H65" s="1076">
        <f t="shared" si="0"/>
        <v>193478462</v>
      </c>
      <c r="I65" s="443">
        <f>SUM(I66:I68)</f>
        <v>193478462</v>
      </c>
      <c r="J65" s="233">
        <f>SUM(J66:J68)</f>
        <v>0</v>
      </c>
      <c r="K65" s="233">
        <f>SUM(K66:K68)</f>
        <v>0</v>
      </c>
    </row>
    <row r="66" spans="1:11" s="444" customFormat="1" ht="12" customHeight="1" x14ac:dyDescent="0.2">
      <c r="A66" s="14" t="s">
        <v>352</v>
      </c>
      <c r="B66" s="523" t="s">
        <v>322</v>
      </c>
      <c r="C66" s="1083">
        <v>20303000</v>
      </c>
      <c r="D66" s="1079">
        <f>SUM(E66:G66)+37900000+5500000</f>
        <v>87500000</v>
      </c>
      <c r="E66" s="1085">
        <v>44100000</v>
      </c>
      <c r="F66" s="1086"/>
      <c r="G66" s="1086"/>
      <c r="H66" s="1082">
        <f t="shared" si="0"/>
        <v>93478462</v>
      </c>
      <c r="I66" s="411">
        <v>93478462</v>
      </c>
      <c r="J66" s="237"/>
      <c r="K66" s="237"/>
    </row>
    <row r="67" spans="1:11" s="444" customFormat="1" ht="12" customHeight="1" x14ac:dyDescent="0.2">
      <c r="A67" s="13" t="s">
        <v>361</v>
      </c>
      <c r="B67" s="524" t="s">
        <v>323</v>
      </c>
      <c r="C67" s="1083"/>
      <c r="D67" s="1097">
        <f>SUM(E67:G67)</f>
        <v>100000000</v>
      </c>
      <c r="E67" s="1085">
        <v>100000000</v>
      </c>
      <c r="F67" s="1086"/>
      <c r="G67" s="1086"/>
      <c r="H67" s="1087">
        <f t="shared" si="0"/>
        <v>100000000</v>
      </c>
      <c r="I67" s="411">
        <v>100000000</v>
      </c>
      <c r="J67" s="237"/>
      <c r="K67" s="237"/>
    </row>
    <row r="68" spans="1:11" s="444" customFormat="1" ht="12" customHeight="1" thickBot="1" x14ac:dyDescent="0.25">
      <c r="A68" s="15" t="s">
        <v>362</v>
      </c>
      <c r="B68" s="1034" t="s">
        <v>558</v>
      </c>
      <c r="C68" s="1088"/>
      <c r="D68" s="1104">
        <f>SUM(E68:G68)</f>
        <v>0</v>
      </c>
      <c r="E68" s="1085"/>
      <c r="F68" s="1086"/>
      <c r="G68" s="1086"/>
      <c r="H68" s="1101">
        <f t="shared" si="0"/>
        <v>0</v>
      </c>
      <c r="I68" s="411"/>
      <c r="J68" s="237"/>
      <c r="K68" s="237"/>
    </row>
    <row r="69" spans="1:11" s="444" customFormat="1" ht="12" customHeight="1" thickBot="1" x14ac:dyDescent="0.25">
      <c r="A69" s="393" t="s">
        <v>325</v>
      </c>
      <c r="B69" s="1033" t="s">
        <v>326</v>
      </c>
      <c r="C69" s="1113">
        <f>SUM(C70:C73)</f>
        <v>0</v>
      </c>
      <c r="D69" s="1113">
        <f>SUM(D70:D73)</f>
        <v>0</v>
      </c>
      <c r="E69" s="1077">
        <f>SUM(E70:E73)</f>
        <v>0</v>
      </c>
      <c r="F69" s="1076">
        <f>SUM(F70:F73)</f>
        <v>0</v>
      </c>
      <c r="G69" s="1076">
        <f>SUM(G70:G73)</f>
        <v>0</v>
      </c>
      <c r="H69" s="1076">
        <f t="shared" si="0"/>
        <v>0</v>
      </c>
      <c r="I69" s="443">
        <f>SUM(I70:I73)</f>
        <v>0</v>
      </c>
      <c r="J69" s="233">
        <f>SUM(J70:J73)</f>
        <v>0</v>
      </c>
      <c r="K69" s="233">
        <f>SUM(K70:K73)</f>
        <v>0</v>
      </c>
    </row>
    <row r="70" spans="1:11" s="444" customFormat="1" ht="12" customHeight="1" x14ac:dyDescent="0.2">
      <c r="A70" s="14" t="s">
        <v>159</v>
      </c>
      <c r="B70" s="523" t="s">
        <v>327</v>
      </c>
      <c r="C70" s="1083"/>
      <c r="D70" s="1079">
        <f>SUM(E70:G70)</f>
        <v>0</v>
      </c>
      <c r="E70" s="1085"/>
      <c r="F70" s="1086"/>
      <c r="G70" s="1086"/>
      <c r="H70" s="1096">
        <f t="shared" si="0"/>
        <v>0</v>
      </c>
      <c r="I70" s="411"/>
      <c r="J70" s="237"/>
      <c r="K70" s="237"/>
    </row>
    <row r="71" spans="1:11" s="444" customFormat="1" ht="17.25" customHeight="1" x14ac:dyDescent="0.2">
      <c r="A71" s="13" t="s">
        <v>160</v>
      </c>
      <c r="B71" s="524" t="s">
        <v>328</v>
      </c>
      <c r="C71" s="1083"/>
      <c r="D71" s="1097">
        <f>SUM(E71:G71)</f>
        <v>0</v>
      </c>
      <c r="E71" s="1085"/>
      <c r="F71" s="1086"/>
      <c r="G71" s="1086"/>
      <c r="H71" s="1098">
        <f t="shared" si="0"/>
        <v>0</v>
      </c>
      <c r="I71" s="411"/>
      <c r="J71" s="237"/>
      <c r="K71" s="237"/>
    </row>
    <row r="72" spans="1:11" s="444" customFormat="1" ht="12" customHeight="1" x14ac:dyDescent="0.2">
      <c r="A72" s="13" t="s">
        <v>353</v>
      </c>
      <c r="B72" s="524" t="s">
        <v>329</v>
      </c>
      <c r="C72" s="1083"/>
      <c r="D72" s="1097">
        <f>SUM(E72:G72)</f>
        <v>0</v>
      </c>
      <c r="E72" s="1085"/>
      <c r="F72" s="1086"/>
      <c r="G72" s="1086"/>
      <c r="H72" s="1098">
        <f t="shared" ref="H72:H89" si="1">SUM(I72:K72)</f>
        <v>0</v>
      </c>
      <c r="I72" s="411"/>
      <c r="J72" s="237"/>
      <c r="K72" s="237"/>
    </row>
    <row r="73" spans="1:11" s="444" customFormat="1" ht="12" customHeight="1" thickBot="1" x14ac:dyDescent="0.25">
      <c r="A73" s="15" t="s">
        <v>354</v>
      </c>
      <c r="B73" s="1032" t="s">
        <v>330</v>
      </c>
      <c r="C73" s="1088"/>
      <c r="D73" s="1104">
        <f>SUM(E73:G73)</f>
        <v>0</v>
      </c>
      <c r="E73" s="1085"/>
      <c r="F73" s="1086"/>
      <c r="G73" s="1086"/>
      <c r="H73" s="1092">
        <f t="shared" si="1"/>
        <v>0</v>
      </c>
      <c r="I73" s="411"/>
      <c r="J73" s="237"/>
      <c r="K73" s="237"/>
    </row>
    <row r="74" spans="1:11" s="444" customFormat="1" ht="12" customHeight="1" thickBot="1" x14ac:dyDescent="0.25">
      <c r="A74" s="393" t="s">
        <v>331</v>
      </c>
      <c r="B74" s="1033" t="s">
        <v>332</v>
      </c>
      <c r="C74" s="1077">
        <f>SUM(C75:C76)</f>
        <v>264950190</v>
      </c>
      <c r="D74" s="1077">
        <f>SUM(D75:D76)</f>
        <v>292999415</v>
      </c>
      <c r="E74" s="1077">
        <f>SUM(E75:E76)</f>
        <v>289331423</v>
      </c>
      <c r="F74" s="1076">
        <f>SUM(F75:F76)</f>
        <v>447404</v>
      </c>
      <c r="G74" s="1076">
        <f>SUM(G75:G76)</f>
        <v>3220588</v>
      </c>
      <c r="H74" s="1076">
        <f t="shared" si="1"/>
        <v>595229853</v>
      </c>
      <c r="I74" s="443">
        <f>SUM(I75:I76)</f>
        <v>569119704</v>
      </c>
      <c r="J74" s="233">
        <f>SUM(J75:J76)</f>
        <v>3148853</v>
      </c>
      <c r="K74" s="233">
        <f>SUM(K75:K76)</f>
        <v>22961296</v>
      </c>
    </row>
    <row r="75" spans="1:11" s="444" customFormat="1" ht="12" customHeight="1" x14ac:dyDescent="0.2">
      <c r="A75" s="14" t="s">
        <v>355</v>
      </c>
      <c r="B75" s="523" t="s">
        <v>333</v>
      </c>
      <c r="C75" s="1083">
        <v>264950190</v>
      </c>
      <c r="D75" s="1079">
        <f>SUM(E75:G75)</f>
        <v>292999415</v>
      </c>
      <c r="E75" s="1085">
        <v>289331423</v>
      </c>
      <c r="F75" s="1086">
        <v>447404</v>
      </c>
      <c r="G75" s="1086">
        <v>3220588</v>
      </c>
      <c r="H75" s="1082">
        <f t="shared" si="1"/>
        <v>595229853</v>
      </c>
      <c r="I75" s="411">
        <v>569119704</v>
      </c>
      <c r="J75" s="237">
        <v>3148853</v>
      </c>
      <c r="K75" s="237">
        <v>22961296</v>
      </c>
    </row>
    <row r="76" spans="1:11" s="444" customFormat="1" ht="12" customHeight="1" thickBot="1" x14ac:dyDescent="0.25">
      <c r="A76" s="15" t="s">
        <v>356</v>
      </c>
      <c r="B76" s="1032" t="s">
        <v>334</v>
      </c>
      <c r="C76" s="1088"/>
      <c r="D76" s="1104">
        <f>SUM(E76:G76)</f>
        <v>0</v>
      </c>
      <c r="E76" s="1085"/>
      <c r="F76" s="1086"/>
      <c r="G76" s="1086"/>
      <c r="H76" s="1092">
        <f t="shared" si="1"/>
        <v>0</v>
      </c>
      <c r="I76" s="411"/>
      <c r="J76" s="237"/>
      <c r="K76" s="237"/>
    </row>
    <row r="77" spans="1:11" s="444" customFormat="1" ht="12" customHeight="1" thickBot="1" x14ac:dyDescent="0.25">
      <c r="A77" s="393" t="s">
        <v>335</v>
      </c>
      <c r="B77" s="1033" t="s">
        <v>336</v>
      </c>
      <c r="C77" s="1114">
        <f>SUM(C78:C80)</f>
        <v>35164932</v>
      </c>
      <c r="D77" s="1113">
        <f>SUM(D78:D80)</f>
        <v>0</v>
      </c>
      <c r="E77" s="1077">
        <f>SUM(E78:E80)</f>
        <v>0</v>
      </c>
      <c r="F77" s="1076">
        <f>SUM(F78:F80)</f>
        <v>0</v>
      </c>
      <c r="G77" s="1076">
        <f>SUM(G78:G80)</f>
        <v>0</v>
      </c>
      <c r="H77" s="1076">
        <f t="shared" si="1"/>
        <v>0</v>
      </c>
      <c r="I77" s="443">
        <f>SUM(I78:I80)</f>
        <v>0</v>
      </c>
      <c r="J77" s="233">
        <f>SUM(J78:J80)</f>
        <v>0</v>
      </c>
      <c r="K77" s="233">
        <f>SUM(K78:K80)</f>
        <v>0</v>
      </c>
    </row>
    <row r="78" spans="1:11" s="444" customFormat="1" ht="12" customHeight="1" x14ac:dyDescent="0.2">
      <c r="A78" s="14" t="s">
        <v>357</v>
      </c>
      <c r="B78" s="523" t="s">
        <v>337</v>
      </c>
      <c r="C78" s="1083">
        <v>35164932</v>
      </c>
      <c r="D78" s="1079">
        <f>SUM(E78:G78)</f>
        <v>0</v>
      </c>
      <c r="E78" s="1085"/>
      <c r="F78" s="1086"/>
      <c r="G78" s="1086"/>
      <c r="H78" s="1096">
        <f t="shared" si="1"/>
        <v>0</v>
      </c>
      <c r="I78" s="411"/>
      <c r="J78" s="237"/>
      <c r="K78" s="237"/>
    </row>
    <row r="79" spans="1:11" s="444" customFormat="1" ht="12" customHeight="1" x14ac:dyDescent="0.2">
      <c r="A79" s="13" t="s">
        <v>358</v>
      </c>
      <c r="B79" s="524" t="s">
        <v>338</v>
      </c>
      <c r="C79" s="1083"/>
      <c r="D79" s="1097">
        <f>SUM(E79:G79)</f>
        <v>0</v>
      </c>
      <c r="E79" s="1085"/>
      <c r="F79" s="1086"/>
      <c r="G79" s="1086"/>
      <c r="H79" s="1098">
        <f t="shared" si="1"/>
        <v>0</v>
      </c>
      <c r="I79" s="411"/>
      <c r="J79" s="237"/>
      <c r="K79" s="237"/>
    </row>
    <row r="80" spans="1:11" s="444" customFormat="1" ht="12" customHeight="1" thickBot="1" x14ac:dyDescent="0.25">
      <c r="A80" s="15" t="s">
        <v>359</v>
      </c>
      <c r="B80" s="1032" t="s">
        <v>339</v>
      </c>
      <c r="C80" s="1088"/>
      <c r="D80" s="1104">
        <f>SUM(E80:G80)</f>
        <v>0</v>
      </c>
      <c r="E80" s="1085"/>
      <c r="F80" s="1086"/>
      <c r="G80" s="1086"/>
      <c r="H80" s="1098">
        <f t="shared" si="1"/>
        <v>0</v>
      </c>
      <c r="I80" s="411"/>
      <c r="J80" s="237"/>
      <c r="K80" s="237"/>
    </row>
    <row r="81" spans="1:11" s="444" customFormat="1" ht="12" customHeight="1" thickBot="1" x14ac:dyDescent="0.25">
      <c r="A81" s="393" t="s">
        <v>340</v>
      </c>
      <c r="B81" s="1033" t="s">
        <v>360</v>
      </c>
      <c r="C81" s="1113">
        <f>SUM(C82:C85)</f>
        <v>0</v>
      </c>
      <c r="D81" s="1113">
        <f>SUM(D82:D85)</f>
        <v>0</v>
      </c>
      <c r="E81" s="1077">
        <f>SUM(E82:E85)</f>
        <v>0</v>
      </c>
      <c r="F81" s="1076">
        <f>SUM(F82:F85)</f>
        <v>0</v>
      </c>
      <c r="G81" s="1076">
        <f>SUM(G82:G85)</f>
        <v>0</v>
      </c>
      <c r="H81" s="1098">
        <f t="shared" si="1"/>
        <v>0</v>
      </c>
      <c r="I81" s="443">
        <f>SUM(I82:I85)</f>
        <v>0</v>
      </c>
      <c r="J81" s="233">
        <f>SUM(J82:J85)</f>
        <v>0</v>
      </c>
      <c r="K81" s="233">
        <f>SUM(K82:K85)</f>
        <v>0</v>
      </c>
    </row>
    <row r="82" spans="1:11" s="444" customFormat="1" ht="12" customHeight="1" x14ac:dyDescent="0.2">
      <c r="A82" s="323" t="s">
        <v>341</v>
      </c>
      <c r="B82" s="523" t="s">
        <v>342</v>
      </c>
      <c r="C82" s="1083"/>
      <c r="D82" s="1079">
        <f t="shared" ref="D82:D87" si="2">SUM(E82:G82)</f>
        <v>0</v>
      </c>
      <c r="E82" s="1085"/>
      <c r="F82" s="1086"/>
      <c r="G82" s="1086"/>
      <c r="H82" s="1098">
        <f t="shared" si="1"/>
        <v>0</v>
      </c>
      <c r="I82" s="411"/>
      <c r="J82" s="237"/>
      <c r="K82" s="237"/>
    </row>
    <row r="83" spans="1:11" s="444" customFormat="1" ht="12" customHeight="1" x14ac:dyDescent="0.2">
      <c r="A83" s="324" t="s">
        <v>343</v>
      </c>
      <c r="B83" s="524" t="s">
        <v>344</v>
      </c>
      <c r="C83" s="1083"/>
      <c r="D83" s="1097">
        <f t="shared" si="2"/>
        <v>0</v>
      </c>
      <c r="E83" s="1085"/>
      <c r="F83" s="1086"/>
      <c r="G83" s="1086"/>
      <c r="H83" s="1098">
        <f t="shared" si="1"/>
        <v>0</v>
      </c>
      <c r="I83" s="411"/>
      <c r="J83" s="237"/>
      <c r="K83" s="237"/>
    </row>
    <row r="84" spans="1:11" s="444" customFormat="1" ht="12" customHeight="1" x14ac:dyDescent="0.2">
      <c r="A84" s="324" t="s">
        <v>345</v>
      </c>
      <c r="B84" s="524" t="s">
        <v>346</v>
      </c>
      <c r="C84" s="1083"/>
      <c r="D84" s="1097">
        <f t="shared" si="2"/>
        <v>0</v>
      </c>
      <c r="E84" s="1085"/>
      <c r="F84" s="1086"/>
      <c r="G84" s="1086"/>
      <c r="H84" s="1098">
        <f t="shared" si="1"/>
        <v>0</v>
      </c>
      <c r="I84" s="411"/>
      <c r="J84" s="237"/>
      <c r="K84" s="237"/>
    </row>
    <row r="85" spans="1:11" s="444" customFormat="1" ht="12" customHeight="1" thickBot="1" x14ac:dyDescent="0.25">
      <c r="A85" s="325" t="s">
        <v>347</v>
      </c>
      <c r="B85" s="1032" t="s">
        <v>348</v>
      </c>
      <c r="C85" s="1088"/>
      <c r="D85" s="1104">
        <f t="shared" si="2"/>
        <v>0</v>
      </c>
      <c r="E85" s="1085"/>
      <c r="F85" s="1086"/>
      <c r="G85" s="1086"/>
      <c r="H85" s="1092">
        <f t="shared" si="1"/>
        <v>0</v>
      </c>
      <c r="I85" s="411"/>
      <c r="J85" s="237"/>
      <c r="K85" s="237"/>
    </row>
    <row r="86" spans="1:11" s="444" customFormat="1" ht="12" customHeight="1" thickBot="1" x14ac:dyDescent="0.25">
      <c r="A86" s="393" t="s">
        <v>349</v>
      </c>
      <c r="B86" s="1033" t="s">
        <v>559</v>
      </c>
      <c r="C86" s="1115"/>
      <c r="D86" s="1116">
        <f t="shared" si="2"/>
        <v>0</v>
      </c>
      <c r="E86" s="1117"/>
      <c r="F86" s="1118"/>
      <c r="G86" s="1118"/>
      <c r="H86" s="1076">
        <f t="shared" si="1"/>
        <v>0</v>
      </c>
      <c r="I86" s="453"/>
      <c r="J86" s="358"/>
      <c r="K86" s="358"/>
    </row>
    <row r="87" spans="1:11" s="444" customFormat="1" ht="12" customHeight="1" thickBot="1" x14ac:dyDescent="0.25">
      <c r="A87" s="393" t="s">
        <v>351</v>
      </c>
      <c r="B87" s="1033" t="s">
        <v>350</v>
      </c>
      <c r="C87" s="1115"/>
      <c r="D87" s="1077">
        <f t="shared" si="2"/>
        <v>0</v>
      </c>
      <c r="E87" s="1117"/>
      <c r="F87" s="1118"/>
      <c r="G87" s="1118"/>
      <c r="H87" s="1076">
        <f t="shared" si="1"/>
        <v>0</v>
      </c>
      <c r="I87" s="453"/>
      <c r="J87" s="358"/>
      <c r="K87" s="358"/>
    </row>
    <row r="88" spans="1:11" s="444" customFormat="1" ht="12" customHeight="1" thickBot="1" x14ac:dyDescent="0.25">
      <c r="A88" s="393" t="s">
        <v>363</v>
      </c>
      <c r="B88" s="1035" t="s">
        <v>560</v>
      </c>
      <c r="C88" s="1111">
        <f>C87+C86+C81+C77+C74+C69+C65</f>
        <v>320418122</v>
      </c>
      <c r="D88" s="1077">
        <f>D87+D86+D81+D77+D74+D69+D65</f>
        <v>480499415</v>
      </c>
      <c r="E88" s="1105">
        <f>+E65+E69+E74+E77+E81+E87+E86</f>
        <v>433431423</v>
      </c>
      <c r="F88" s="1106">
        <f>+F65+F69+F74+F77+F81+F87+F86</f>
        <v>447404</v>
      </c>
      <c r="G88" s="1106">
        <f>+G65+G69+G74+G77+G81+G87+G86</f>
        <v>3220588</v>
      </c>
      <c r="H88" s="1076">
        <f t="shared" si="1"/>
        <v>788708315</v>
      </c>
      <c r="I88" s="448">
        <f>+I65+I69+I74+I77+I81+I87+I86</f>
        <v>762598166</v>
      </c>
      <c r="J88" s="238">
        <f>+J65+J69+J74+J77+J81+J87+J86</f>
        <v>3148853</v>
      </c>
      <c r="K88" s="238">
        <f>+K65+K69+K74+K77+K81+K87+K86</f>
        <v>22961296</v>
      </c>
    </row>
    <row r="89" spans="1:11" s="444" customFormat="1" ht="12" customHeight="1" thickBot="1" x14ac:dyDescent="0.25">
      <c r="A89" s="395" t="s">
        <v>561</v>
      </c>
      <c r="B89" s="1036" t="s">
        <v>562</v>
      </c>
      <c r="C89" s="1111">
        <f>C64+C88</f>
        <v>2959690182</v>
      </c>
      <c r="D89" s="1077">
        <f>D64+D88</f>
        <v>3410219894</v>
      </c>
      <c r="E89" s="1105">
        <f>+E64+E88</f>
        <v>1824871137</v>
      </c>
      <c r="F89" s="1106">
        <f>+F64+F88</f>
        <v>9863904</v>
      </c>
      <c r="G89" s="1106">
        <f>+G64+G88</f>
        <v>393971766</v>
      </c>
      <c r="H89" s="1076">
        <f t="shared" si="1"/>
        <v>3119779303</v>
      </c>
      <c r="I89" s="448">
        <f>+I64+I88</f>
        <v>2680020184</v>
      </c>
      <c r="J89" s="238">
        <f>+J64+J88</f>
        <v>14664530</v>
      </c>
      <c r="K89" s="238">
        <f>+K64+K88</f>
        <v>425094589</v>
      </c>
    </row>
    <row r="90" spans="1:11" s="444" customFormat="1" ht="12" customHeight="1" x14ac:dyDescent="0.2">
      <c r="A90" s="454"/>
      <c r="B90" s="455"/>
      <c r="C90" s="1153"/>
      <c r="D90" s="1119"/>
      <c r="E90" s="1120"/>
      <c r="F90" s="1120"/>
      <c r="G90" s="1120"/>
      <c r="H90" s="1121"/>
    </row>
    <row r="91" spans="1:11" s="444" customFormat="1" ht="12" customHeight="1" x14ac:dyDescent="0.2">
      <c r="A91" s="1171" t="s">
        <v>60</v>
      </c>
      <c r="B91" s="1171"/>
      <c r="C91" s="1171"/>
      <c r="D91" s="1171"/>
      <c r="E91" s="1171"/>
      <c r="F91" s="1171"/>
      <c r="G91" s="1171"/>
      <c r="H91" s="1171"/>
    </row>
    <row r="92" spans="1:11" s="444" customFormat="1" ht="12" customHeight="1" thickBot="1" x14ac:dyDescent="0.25">
      <c r="A92" s="1172" t="s">
        <v>162</v>
      </c>
      <c r="B92" s="1172"/>
      <c r="C92" s="1154"/>
      <c r="D92" s="1146"/>
      <c r="E92" s="1146"/>
      <c r="F92" s="1146"/>
      <c r="G92" s="1146"/>
      <c r="H92" s="1155" t="str">
        <f>H4</f>
        <v>Forintban!</v>
      </c>
    </row>
    <row r="93" spans="1:11" s="444" customFormat="1" ht="36.75" customHeight="1" thickBot="1" x14ac:dyDescent="0.25">
      <c r="A93" s="22" t="s">
        <v>29</v>
      </c>
      <c r="B93" s="1048" t="s">
        <v>61</v>
      </c>
      <c r="C93" s="1156" t="s">
        <v>855</v>
      </c>
      <c r="D93" s="1157" t="str">
        <f>+D5</f>
        <v>2017. évi módosított előirányzat</v>
      </c>
      <c r="E93" s="1150"/>
      <c r="F93" s="1150"/>
      <c r="G93" s="1150"/>
      <c r="H93" s="1151" t="str">
        <f>+H5</f>
        <v>2018. évi előirányzat</v>
      </c>
    </row>
    <row r="94" spans="1:11" s="444" customFormat="1" ht="12" customHeight="1" thickBot="1" x14ac:dyDescent="0.25">
      <c r="A94" s="31" t="s">
        <v>546</v>
      </c>
      <c r="B94" s="550" t="s">
        <v>547</v>
      </c>
      <c r="C94" s="1111" t="s">
        <v>548</v>
      </c>
      <c r="D94" s="1158" t="s">
        <v>601</v>
      </c>
      <c r="E94" s="1152"/>
      <c r="F94" s="1152"/>
      <c r="G94" s="1152"/>
      <c r="H94" s="1122" t="s">
        <v>602</v>
      </c>
    </row>
    <row r="95" spans="1:11" s="444" customFormat="1" ht="15" customHeight="1" thickBot="1" x14ac:dyDescent="0.25">
      <c r="A95" s="21" t="s">
        <v>31</v>
      </c>
      <c r="B95" s="1037" t="s">
        <v>600</v>
      </c>
      <c r="C95" s="1111">
        <f>SUM(C96:C100)+SUM(C113)</f>
        <v>2510000576</v>
      </c>
      <c r="D95" s="1077">
        <f>SUM(D96:D100)+SUM(D113)</f>
        <v>2537502119</v>
      </c>
      <c r="E95" s="1116">
        <f>+E96+E97+E98+E99+E100+E113</f>
        <v>336688965</v>
      </c>
      <c r="F95" s="1122">
        <f>+F96+F97+F98+F99+F100+F113</f>
        <v>223822850</v>
      </c>
      <c r="G95" s="1111">
        <f>G96+G97+G98+G99+G100+G113</f>
        <v>1388014694</v>
      </c>
      <c r="H95" s="1076">
        <f>SUM(I95:K95)</f>
        <v>2418121722</v>
      </c>
      <c r="I95" s="457">
        <f>+I96+I97+I98+I99+I100+I113</f>
        <v>682537985</v>
      </c>
      <c r="J95" s="232">
        <f>+J96+J97+J98+J99+J100+J113</f>
        <v>239347795</v>
      </c>
      <c r="K95" s="522">
        <f>K96+K97+K98+K99+K100+K113</f>
        <v>1496235942</v>
      </c>
    </row>
    <row r="96" spans="1:11" s="444" customFormat="1" ht="12.95" customHeight="1" x14ac:dyDescent="0.2">
      <c r="A96" s="16" t="s">
        <v>114</v>
      </c>
      <c r="B96" s="1038" t="s">
        <v>62</v>
      </c>
      <c r="C96" s="1123">
        <v>1207786084</v>
      </c>
      <c r="D96" s="1108">
        <f>SUM(E96:G96)+252096521+85501355+27232396-1393308+7410662+5711096+12960546+166800</f>
        <v>1094113234</v>
      </c>
      <c r="E96" s="1124">
        <f>25364000+485000+6010000+3749000+165142000+48000+105000-275033584+150179</f>
        <v>-73980405</v>
      </c>
      <c r="F96" s="1125">
        <v>119212000</v>
      </c>
      <c r="G96" s="1125">
        <v>659195571</v>
      </c>
      <c r="H96" s="1159">
        <f>SUM(I96:K96)</f>
        <v>972189321</v>
      </c>
      <c r="I96" s="528">
        <f>2854500+25097896+75000+16116992+1182990+2491000</f>
        <v>47818378</v>
      </c>
      <c r="J96" s="420">
        <f>2528076+481000+134654515+2215000</f>
        <v>139878591</v>
      </c>
      <c r="K96" s="428">
        <v>784492352</v>
      </c>
    </row>
    <row r="97" spans="1:11" ht="16.5" customHeight="1" x14ac:dyDescent="0.25">
      <c r="A97" s="13" t="s">
        <v>115</v>
      </c>
      <c r="B97" s="1039" t="s">
        <v>190</v>
      </c>
      <c r="C97" s="1126">
        <v>271747480</v>
      </c>
      <c r="D97" s="1084">
        <f>SUM(E97:G97)+28812821+9405149+5800271-280382+2089507-570939+1438961+3013037+175648</f>
        <v>230642127</v>
      </c>
      <c r="E97" s="1085">
        <f>5239000+143000+1233000+14000+1652000+19299000+10000+23000-28480392-1528915</f>
        <v>-2396307</v>
      </c>
      <c r="F97" s="1086">
        <v>28323500</v>
      </c>
      <c r="G97" s="1086">
        <v>154830861</v>
      </c>
      <c r="H97" s="1159">
        <f t="shared" ref="H97:H156" si="3">SUM(I97:K97)</f>
        <v>205103347</v>
      </c>
      <c r="I97" s="411">
        <f>500965+4771305+13275+17258+2940000+14000+207615+1015000</f>
        <v>9479418</v>
      </c>
      <c r="J97" s="237">
        <f>443678+114000+28757160+461687</f>
        <v>29776525</v>
      </c>
      <c r="K97" s="413">
        <v>165847404</v>
      </c>
    </row>
    <row r="98" spans="1:11" x14ac:dyDescent="0.25">
      <c r="A98" s="13" t="s">
        <v>116</v>
      </c>
      <c r="B98" s="1039" t="s">
        <v>151</v>
      </c>
      <c r="C98" s="1127">
        <v>776462763</v>
      </c>
      <c r="D98" s="1084">
        <f>SUM(E98:G98)+41579904+1600000+22320920+28158088+9295882+11813400+570939+10565807+4029458+20547308</f>
        <v>953351741</v>
      </c>
      <c r="E98" s="109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1100">
        <v>52037350</v>
      </c>
      <c r="G98" s="1086">
        <v>573988262</v>
      </c>
      <c r="H98" s="1159">
        <f t="shared" si="3"/>
        <v>914471448</v>
      </c>
      <c r="I98" s="415">
        <f>13447475+835000+16099000+50000+52909601+3082677+6787092+2456000+4504030+871220+397000+194467+34163000+50473064+34200000+3285067+156511+9000000+563000+17207888+2681000+3300000+17042731+48545760+500000+381000</f>
        <v>323132583</v>
      </c>
      <c r="J98" s="308">
        <f>4096000+324000+352000+40114003+137126+419550</f>
        <v>45442679</v>
      </c>
      <c r="K98" s="413">
        <v>545896186</v>
      </c>
    </row>
    <row r="99" spans="1:11" s="441" customFormat="1" ht="12" customHeight="1" x14ac:dyDescent="0.2">
      <c r="A99" s="13" t="s">
        <v>117</v>
      </c>
      <c r="B99" s="1042" t="s">
        <v>191</v>
      </c>
      <c r="C99" s="1126">
        <v>72060693</v>
      </c>
      <c r="D99" s="1084">
        <f>SUM(E99:G99)-6901260-4000000</f>
        <v>77248740</v>
      </c>
      <c r="E99" s="1099">
        <f>70980000-5080000-2000000</f>
        <v>63900000</v>
      </c>
      <c r="F99" s="1100">
        <v>24250000</v>
      </c>
      <c r="G99" s="1100"/>
      <c r="H99" s="1159">
        <f t="shared" si="3"/>
        <v>97250000</v>
      </c>
      <c r="I99" s="415">
        <f>69500000+3500000</f>
        <v>73000000</v>
      </c>
      <c r="J99" s="308">
        <v>24250000</v>
      </c>
      <c r="K99" s="427"/>
    </row>
    <row r="100" spans="1:11" ht="12" customHeight="1" x14ac:dyDescent="0.25">
      <c r="A100" s="13" t="s">
        <v>128</v>
      </c>
      <c r="B100" s="18" t="s">
        <v>192</v>
      </c>
      <c r="C100" s="1126">
        <v>181943556</v>
      </c>
      <c r="D100" s="1084">
        <f>SUM(D101:D112)</f>
        <v>117690011</v>
      </c>
      <c r="E100" s="1099">
        <f>SUM(E101:E112)</f>
        <v>76126000</v>
      </c>
      <c r="F100" s="1100">
        <f>SUM(F101:F112)</f>
        <v>0</v>
      </c>
      <c r="G100" s="1100"/>
      <c r="H100" s="1159">
        <f t="shared" si="3"/>
        <v>148261084</v>
      </c>
      <c r="I100" s="415">
        <f>45183973+52959801+660000+100000+49357310</f>
        <v>148261084</v>
      </c>
      <c r="J100" s="308"/>
      <c r="K100" s="427"/>
    </row>
    <row r="101" spans="1:11" ht="12" customHeight="1" x14ac:dyDescent="0.25">
      <c r="A101" s="13" t="s">
        <v>118</v>
      </c>
      <c r="B101" s="1039" t="s">
        <v>563</v>
      </c>
      <c r="C101" s="1127">
        <v>6261128</v>
      </c>
      <c r="D101" s="1084">
        <f>SUM(E101:G101)+1500+7242044+114463+2792500+6504</f>
        <v>10157011</v>
      </c>
      <c r="E101" s="1099"/>
      <c r="F101" s="1100"/>
      <c r="G101" s="1100"/>
      <c r="H101" s="1159">
        <f t="shared" si="3"/>
        <v>100000</v>
      </c>
      <c r="I101" s="415">
        <v>100000</v>
      </c>
      <c r="J101" s="308"/>
      <c r="K101" s="427"/>
    </row>
    <row r="102" spans="1:11" ht="12" customHeight="1" x14ac:dyDescent="0.25">
      <c r="A102" s="13" t="s">
        <v>119</v>
      </c>
      <c r="B102" s="1041" t="s">
        <v>564</v>
      </c>
      <c r="C102" s="1127"/>
      <c r="D102" s="1084">
        <f>SUM(E102:G102)</f>
        <v>0</v>
      </c>
      <c r="E102" s="1099"/>
      <c r="F102" s="1100"/>
      <c r="G102" s="1100"/>
      <c r="H102" s="1160">
        <f t="shared" si="3"/>
        <v>0</v>
      </c>
      <c r="I102" s="415"/>
      <c r="J102" s="308"/>
      <c r="K102" s="427"/>
    </row>
    <row r="103" spans="1:11" ht="12" customHeight="1" x14ac:dyDescent="0.25">
      <c r="A103" s="13" t="s">
        <v>129</v>
      </c>
      <c r="B103" s="1041" t="s">
        <v>565</v>
      </c>
      <c r="C103" s="1127"/>
      <c r="D103" s="1084">
        <f>SUM(E103:G103)</f>
        <v>0</v>
      </c>
      <c r="E103" s="1099"/>
      <c r="F103" s="1100"/>
      <c r="G103" s="1100"/>
      <c r="H103" s="1160">
        <f t="shared" si="3"/>
        <v>0</v>
      </c>
      <c r="I103" s="415"/>
      <c r="J103" s="308"/>
      <c r="K103" s="427"/>
    </row>
    <row r="104" spans="1:11" ht="12" customHeight="1" x14ac:dyDescent="0.25">
      <c r="A104" s="13" t="s">
        <v>130</v>
      </c>
      <c r="B104" s="1066" t="s">
        <v>366</v>
      </c>
      <c r="C104" s="1161"/>
      <c r="D104" s="1084">
        <f>SUM(E104:G104)</f>
        <v>0</v>
      </c>
      <c r="E104" s="1099"/>
      <c r="F104" s="1100"/>
      <c r="G104" s="1100"/>
      <c r="H104" s="1160">
        <f t="shared" si="3"/>
        <v>0</v>
      </c>
      <c r="I104" s="415"/>
      <c r="J104" s="308"/>
      <c r="K104" s="427"/>
    </row>
    <row r="105" spans="1:11" ht="12" customHeight="1" x14ac:dyDescent="0.25">
      <c r="A105" s="13" t="s">
        <v>131</v>
      </c>
      <c r="B105" s="1047" t="s">
        <v>367</v>
      </c>
      <c r="C105" s="1127"/>
      <c r="D105" s="1084">
        <f>SUM(E105:G105)</f>
        <v>0</v>
      </c>
      <c r="E105" s="1099"/>
      <c r="F105" s="1100"/>
      <c r="G105" s="1100"/>
      <c r="H105" s="1160">
        <f t="shared" si="3"/>
        <v>0</v>
      </c>
      <c r="I105" s="415"/>
      <c r="J105" s="308"/>
      <c r="K105" s="427"/>
    </row>
    <row r="106" spans="1:11" ht="12" customHeight="1" x14ac:dyDescent="0.25">
      <c r="A106" s="13" t="s">
        <v>132</v>
      </c>
      <c r="B106" s="1047" t="s">
        <v>368</v>
      </c>
      <c r="C106" s="1127"/>
      <c r="D106" s="1084">
        <f>SUM(E106:G106)</f>
        <v>0</v>
      </c>
      <c r="E106" s="1099"/>
      <c r="F106" s="1100"/>
      <c r="G106" s="1100"/>
      <c r="H106" s="1160">
        <f t="shared" si="3"/>
        <v>0</v>
      </c>
      <c r="I106" s="415"/>
      <c r="J106" s="308"/>
      <c r="K106" s="427"/>
    </row>
    <row r="107" spans="1:11" ht="12" customHeight="1" x14ac:dyDescent="0.25">
      <c r="A107" s="13" t="s">
        <v>134</v>
      </c>
      <c r="B107" s="1066" t="s">
        <v>369</v>
      </c>
      <c r="C107" s="1128">
        <v>113441217</v>
      </c>
      <c r="D107" s="1084">
        <f>SUM(E107:G107)+60754-60754</f>
        <v>0</v>
      </c>
      <c r="E107" s="1099"/>
      <c r="F107" s="1100"/>
      <c r="G107" s="1100"/>
      <c r="H107" s="1160">
        <f t="shared" si="3"/>
        <v>0</v>
      </c>
      <c r="I107" s="415"/>
      <c r="J107" s="308"/>
      <c r="K107" s="427"/>
    </row>
    <row r="108" spans="1:11" ht="12" customHeight="1" x14ac:dyDescent="0.25">
      <c r="A108" s="13" t="s">
        <v>193</v>
      </c>
      <c r="B108" s="1066" t="s">
        <v>370</v>
      </c>
      <c r="C108" s="1161"/>
      <c r="D108" s="1084">
        <f>SUM(E108:G108)</f>
        <v>0</v>
      </c>
      <c r="E108" s="1099"/>
      <c r="F108" s="1100"/>
      <c r="G108" s="1100"/>
      <c r="H108" s="1160">
        <f t="shared" si="3"/>
        <v>0</v>
      </c>
      <c r="I108" s="415"/>
      <c r="J108" s="308"/>
      <c r="K108" s="427"/>
    </row>
    <row r="109" spans="1:11" ht="12" customHeight="1" x14ac:dyDescent="0.25">
      <c r="A109" s="13" t="s">
        <v>364</v>
      </c>
      <c r="B109" s="1047" t="s">
        <v>371</v>
      </c>
      <c r="C109" s="1128"/>
      <c r="D109" s="1084">
        <f>SUM(E109:G109)</f>
        <v>0</v>
      </c>
      <c r="E109" s="1099"/>
      <c r="F109" s="1100"/>
      <c r="G109" s="1100"/>
      <c r="H109" s="1160">
        <f t="shared" si="3"/>
        <v>0</v>
      </c>
      <c r="I109" s="415"/>
      <c r="J109" s="308"/>
      <c r="K109" s="427"/>
    </row>
    <row r="110" spans="1:11" ht="12" customHeight="1" x14ac:dyDescent="0.25">
      <c r="A110" s="12" t="s">
        <v>365</v>
      </c>
      <c r="B110" s="1041" t="s">
        <v>372</v>
      </c>
      <c r="C110" s="1128"/>
      <c r="D110" s="1084">
        <f>SUM(E110:G110)</f>
        <v>0</v>
      </c>
      <c r="E110" s="1099"/>
      <c r="F110" s="1100"/>
      <c r="G110" s="1100"/>
      <c r="H110" s="1160">
        <f t="shared" si="3"/>
        <v>0</v>
      </c>
      <c r="I110" s="415"/>
      <c r="J110" s="308"/>
      <c r="K110" s="427"/>
    </row>
    <row r="111" spans="1:11" ht="12" customHeight="1" x14ac:dyDescent="0.25">
      <c r="A111" s="13" t="s">
        <v>566</v>
      </c>
      <c r="B111" s="1041" t="s">
        <v>373</v>
      </c>
      <c r="C111" s="1128"/>
      <c r="D111" s="1084">
        <f>SUM(E111:G111)</f>
        <v>0</v>
      </c>
      <c r="E111" s="1099"/>
      <c r="F111" s="1100"/>
      <c r="G111" s="1100"/>
      <c r="H111" s="1159">
        <f t="shared" si="3"/>
        <v>0</v>
      </c>
      <c r="I111" s="415"/>
      <c r="J111" s="308"/>
      <c r="K111" s="427"/>
    </row>
    <row r="112" spans="1:11" ht="12" customHeight="1" x14ac:dyDescent="0.25">
      <c r="A112" s="15" t="s">
        <v>567</v>
      </c>
      <c r="B112" s="1041" t="s">
        <v>374</v>
      </c>
      <c r="C112" s="1128">
        <v>62241211</v>
      </c>
      <c r="D112" s="1084">
        <f>SUM(E112:G112)+3500000+6600000+2000000+16082000+3225000</f>
        <v>107533000</v>
      </c>
      <c r="E112" s="1085">
        <f>536000+11389000+8562000+16678000+6401000+32560000</f>
        <v>76126000</v>
      </c>
      <c r="F112" s="1086"/>
      <c r="G112" s="1100"/>
      <c r="H112" s="1159">
        <f t="shared" si="3"/>
        <v>148161084</v>
      </c>
      <c r="I112" s="411">
        <f>5697126+16985629+22501218+52959801+660000+49357310</f>
        <v>148161084</v>
      </c>
      <c r="J112" s="237"/>
      <c r="K112" s="427"/>
    </row>
    <row r="113" spans="1:11" ht="12" customHeight="1" x14ac:dyDescent="0.25">
      <c r="A113" s="13" t="s">
        <v>568</v>
      </c>
      <c r="B113" s="1042" t="s">
        <v>63</v>
      </c>
      <c r="C113" s="1162">
        <f>SUM(C114:C115)</f>
        <v>0</v>
      </c>
      <c r="D113" s="1084">
        <f>SUM(D114:D115)</f>
        <v>64456266</v>
      </c>
      <c r="E113" s="1085">
        <f>E114+E115</f>
        <v>96195254</v>
      </c>
      <c r="F113" s="1086"/>
      <c r="G113" s="1086">
        <f>G114+G115</f>
        <v>0</v>
      </c>
      <c r="H113" s="1159">
        <f t="shared" si="3"/>
        <v>80846522</v>
      </c>
      <c r="I113" s="411">
        <f>SUM(I114:I115)</f>
        <v>80846522</v>
      </c>
      <c r="J113" s="237"/>
      <c r="K113" s="413">
        <f>K114+K115</f>
        <v>0</v>
      </c>
    </row>
    <row r="114" spans="1:11" ht="12" customHeight="1" x14ac:dyDescent="0.25">
      <c r="A114" s="13" t="s">
        <v>569</v>
      </c>
      <c r="B114" s="1039" t="s">
        <v>570</v>
      </c>
      <c r="C114" s="1129"/>
      <c r="D114" s="1084">
        <f>SUM(E114:G114)-9172313+8719388-4010722-1042502-1846399+5485909+8185627+3000000</f>
        <v>4036034</v>
      </c>
      <c r="E114" s="1099">
        <f>20000000+1656508-26939462</f>
        <v>-5282954</v>
      </c>
      <c r="F114" s="1100"/>
      <c r="G114" s="1086"/>
      <c r="H114" s="1159">
        <f t="shared" si="3"/>
        <v>15000000</v>
      </c>
      <c r="I114" s="415">
        <v>15000000</v>
      </c>
      <c r="J114" s="308"/>
      <c r="K114" s="413"/>
    </row>
    <row r="115" spans="1:11" ht="12" customHeight="1" thickBot="1" x14ac:dyDescent="0.3">
      <c r="A115" s="17" t="s">
        <v>571</v>
      </c>
      <c r="B115" s="1043" t="s">
        <v>572</v>
      </c>
      <c r="C115" s="1163"/>
      <c r="D115" s="1089">
        <f>SUM(E115:G115)-8373330-1600000-8539600-6323156-7948000-7343244+31158286-32066515+411581-433998</f>
        <v>60420232</v>
      </c>
      <c r="E115" s="1130">
        <f>110613300+500000-3261000-6374092</f>
        <v>101478208</v>
      </c>
      <c r="F115" s="1131"/>
      <c r="G115" s="1131"/>
      <c r="H115" s="1164">
        <f t="shared" si="3"/>
        <v>65846522</v>
      </c>
      <c r="I115" s="529">
        <v>65846522</v>
      </c>
      <c r="J115" s="431"/>
      <c r="K115" s="429"/>
    </row>
    <row r="116" spans="1:11" ht="12" customHeight="1" thickBot="1" x14ac:dyDescent="0.3">
      <c r="A116" s="397" t="s">
        <v>32</v>
      </c>
      <c r="B116" s="949" t="s">
        <v>375</v>
      </c>
      <c r="C116" s="1111">
        <f>SUM(C117:C119)</f>
        <v>120343408</v>
      </c>
      <c r="D116" s="1077">
        <f>D117+D119+D121</f>
        <v>734391843</v>
      </c>
      <c r="E116" s="1077">
        <f>+E117+E119+E121</f>
        <v>132599368</v>
      </c>
      <c r="F116" s="1076">
        <f>+F117+F119+F121</f>
        <v>1901000</v>
      </c>
      <c r="G116" s="1132">
        <f>+G117+G119+G121</f>
        <v>9272287</v>
      </c>
      <c r="H116" s="1114">
        <f t="shared" si="3"/>
        <v>555003286</v>
      </c>
      <c r="I116" s="443">
        <f>+I117+I119+I121</f>
        <v>529079194</v>
      </c>
      <c r="J116" s="233">
        <f>+J117+J119+J121</f>
        <v>4919980</v>
      </c>
      <c r="K116" s="399">
        <f>+K117+K119+K121</f>
        <v>21004112</v>
      </c>
    </row>
    <row r="117" spans="1:11" ht="12" customHeight="1" x14ac:dyDescent="0.25">
      <c r="A117" s="14" t="s">
        <v>120</v>
      </c>
      <c r="B117" s="1039" t="s">
        <v>236</v>
      </c>
      <c r="C117" s="1133">
        <v>64203415</v>
      </c>
      <c r="D117" s="1108">
        <f>SUM(E117:G117)+15239176+979170-265000+63976+93988736+220065714+8904148-1752617</f>
        <v>340602433</v>
      </c>
      <c r="E117" s="1080">
        <f>6621000+2963001+787402+10624171+3081125+300001+529000+1654000+447000+2237000+90200+6604000+301000+204000-18155486-25581571</f>
        <v>-7294157</v>
      </c>
      <c r="F117" s="1081">
        <v>1901000</v>
      </c>
      <c r="G117" s="1081">
        <v>8772287</v>
      </c>
      <c r="H117" s="1159">
        <f t="shared" si="3"/>
        <v>306481603</v>
      </c>
      <c r="I117" s="451">
        <f>359410+2345001+219008101+12873483+381000+1500000+3139585+33894811+377190+2338070+4950460</f>
        <v>281167111</v>
      </c>
      <c r="J117" s="357">
        <v>4919980</v>
      </c>
      <c r="K117" s="430">
        <v>20394512</v>
      </c>
    </row>
    <row r="118" spans="1:11" x14ac:dyDescent="0.25">
      <c r="A118" s="14" t="s">
        <v>121</v>
      </c>
      <c r="B118" s="1040" t="s">
        <v>379</v>
      </c>
      <c r="C118" s="1134">
        <v>45795826</v>
      </c>
      <c r="D118" s="1084">
        <f>SUM(E118:G118)-1000000+87765636+214128350+2959448</f>
        <v>304218048</v>
      </c>
      <c r="E118" s="1080">
        <f>14492698-14128084</f>
        <v>364614</v>
      </c>
      <c r="F118" s="1081"/>
      <c r="G118" s="1081"/>
      <c r="H118" s="1159">
        <f t="shared" si="3"/>
        <v>266452313</v>
      </c>
      <c r="I118" s="945">
        <f>12873483+33259811+218246101</f>
        <v>264379395</v>
      </c>
      <c r="J118" s="357"/>
      <c r="K118" s="430">
        <v>2072918</v>
      </c>
    </row>
    <row r="119" spans="1:11" ht="12" customHeight="1" x14ac:dyDescent="0.25">
      <c r="A119" s="14" t="s">
        <v>122</v>
      </c>
      <c r="B119" s="1040" t="s">
        <v>194</v>
      </c>
      <c r="C119" s="1128">
        <v>10344167</v>
      </c>
      <c r="D119" s="1084">
        <f>SUM(E119:G119)-134607+7509510+735000+1000000+839841+49594413+188498728</f>
        <v>345284910</v>
      </c>
      <c r="E119" s="1085">
        <f>53340000+21000000+1513000+2996000+809000+9333667+7750358</f>
        <v>96742025</v>
      </c>
      <c r="F119" s="1086"/>
      <c r="G119" s="1086">
        <v>500000</v>
      </c>
      <c r="H119" s="1159">
        <f t="shared" si="3"/>
        <v>182810962</v>
      </c>
      <c r="I119" s="411">
        <f>180701362+1500000</f>
        <v>182201362</v>
      </c>
      <c r="J119" s="237"/>
      <c r="K119" s="413">
        <v>609600</v>
      </c>
    </row>
    <row r="120" spans="1:11" ht="12" customHeight="1" x14ac:dyDescent="0.25">
      <c r="A120" s="14" t="s">
        <v>123</v>
      </c>
      <c r="B120" s="1040" t="s">
        <v>380</v>
      </c>
      <c r="C120" s="1135"/>
      <c r="D120" s="1084">
        <f>SUM(E120:G120)+1000000+3795044+189429682-203244</f>
        <v>247361482</v>
      </c>
      <c r="E120" s="1085">
        <v>53340000</v>
      </c>
      <c r="F120" s="1136"/>
      <c r="G120" s="1085"/>
      <c r="H120" s="1159">
        <f t="shared" si="3"/>
        <v>146098020</v>
      </c>
      <c r="I120" s="944">
        <v>146098020</v>
      </c>
      <c r="J120" s="423"/>
      <c r="K120" s="411"/>
    </row>
    <row r="121" spans="1:11" ht="12" customHeight="1" x14ac:dyDescent="0.25">
      <c r="A121" s="14" t="s">
        <v>124</v>
      </c>
      <c r="B121" s="1032" t="s">
        <v>238</v>
      </c>
      <c r="C121" s="1137"/>
      <c r="D121" s="1084">
        <f>SUM(D122:D129)</f>
        <v>48504500</v>
      </c>
      <c r="E121" s="1085">
        <f>SUM(E122:E129)</f>
        <v>43151500</v>
      </c>
      <c r="F121" s="1085"/>
      <c r="G121" s="1085"/>
      <c r="H121" s="1159">
        <f t="shared" si="3"/>
        <v>65710721</v>
      </c>
      <c r="I121" s="411">
        <v>65710721</v>
      </c>
      <c r="J121" s="411"/>
      <c r="K121" s="411"/>
    </row>
    <row r="122" spans="1:11" ht="12" customHeight="1" x14ac:dyDescent="0.25">
      <c r="A122" s="14" t="s">
        <v>133</v>
      </c>
      <c r="B122" s="1031" t="s">
        <v>442</v>
      </c>
      <c r="C122" s="1138"/>
      <c r="D122" s="1084">
        <f t="shared" ref="D122:D128" si="4">SUM(E122:G122)</f>
        <v>0</v>
      </c>
      <c r="E122" s="1090"/>
      <c r="F122" s="1090"/>
      <c r="G122" s="1085"/>
      <c r="H122" s="1159">
        <f t="shared" si="3"/>
        <v>0</v>
      </c>
      <c r="I122" s="217"/>
      <c r="J122" s="217"/>
      <c r="K122" s="411"/>
    </row>
    <row r="123" spans="1:11" ht="12" customHeight="1" x14ac:dyDescent="0.25">
      <c r="A123" s="14" t="s">
        <v>135</v>
      </c>
      <c r="B123" s="1046" t="s">
        <v>385</v>
      </c>
      <c r="C123" s="1139"/>
      <c r="D123" s="1084">
        <f t="shared" si="4"/>
        <v>0</v>
      </c>
      <c r="E123" s="1090"/>
      <c r="F123" s="1090"/>
      <c r="G123" s="1085"/>
      <c r="H123" s="1160">
        <f t="shared" si="3"/>
        <v>0</v>
      </c>
      <c r="I123" s="217"/>
      <c r="J123" s="217"/>
      <c r="K123" s="411"/>
    </row>
    <row r="124" spans="1:11" ht="12" customHeight="1" x14ac:dyDescent="0.25">
      <c r="A124" s="14" t="s">
        <v>195</v>
      </c>
      <c r="B124" s="1047" t="s">
        <v>368</v>
      </c>
      <c r="C124" s="1165"/>
      <c r="D124" s="1084">
        <f t="shared" si="4"/>
        <v>0</v>
      </c>
      <c r="E124" s="1090"/>
      <c r="F124" s="1090"/>
      <c r="G124" s="1085"/>
      <c r="H124" s="1160">
        <f t="shared" si="3"/>
        <v>0</v>
      </c>
      <c r="I124" s="217"/>
      <c r="J124" s="217"/>
      <c r="K124" s="411"/>
    </row>
    <row r="125" spans="1:11" ht="12" customHeight="1" x14ac:dyDescent="0.25">
      <c r="A125" s="14" t="s">
        <v>196</v>
      </c>
      <c r="B125" s="1047" t="s">
        <v>384</v>
      </c>
      <c r="C125" s="1165"/>
      <c r="D125" s="1084">
        <f t="shared" si="4"/>
        <v>0</v>
      </c>
      <c r="E125" s="1090"/>
      <c r="F125" s="1090"/>
      <c r="G125" s="1085"/>
      <c r="H125" s="1160">
        <f t="shared" si="3"/>
        <v>0</v>
      </c>
      <c r="I125" s="217"/>
      <c r="J125" s="217"/>
      <c r="K125" s="411"/>
    </row>
    <row r="126" spans="1:11" ht="12" customHeight="1" x14ac:dyDescent="0.25">
      <c r="A126" s="14" t="s">
        <v>197</v>
      </c>
      <c r="B126" s="1047" t="s">
        <v>383</v>
      </c>
      <c r="C126" s="1165"/>
      <c r="D126" s="1084">
        <f t="shared" si="4"/>
        <v>0</v>
      </c>
      <c r="E126" s="1090"/>
      <c r="F126" s="1090"/>
      <c r="G126" s="1085"/>
      <c r="H126" s="1160">
        <f t="shared" si="3"/>
        <v>0</v>
      </c>
      <c r="I126" s="217"/>
      <c r="J126" s="217"/>
      <c r="K126" s="411"/>
    </row>
    <row r="127" spans="1:11" ht="12" customHeight="1" x14ac:dyDescent="0.25">
      <c r="A127" s="14" t="s">
        <v>376</v>
      </c>
      <c r="B127" s="1047" t="s">
        <v>371</v>
      </c>
      <c r="C127" s="1165"/>
      <c r="D127" s="1084">
        <f>SUM(E127:G127)+5000</f>
        <v>5000</v>
      </c>
      <c r="E127" s="1090"/>
      <c r="F127" s="1090"/>
      <c r="G127" s="1085"/>
      <c r="H127" s="1160">
        <f t="shared" si="3"/>
        <v>0</v>
      </c>
      <c r="I127" s="217"/>
      <c r="J127" s="217"/>
      <c r="K127" s="411"/>
    </row>
    <row r="128" spans="1:11" ht="12" customHeight="1" x14ac:dyDescent="0.25">
      <c r="A128" s="14" t="s">
        <v>377</v>
      </c>
      <c r="B128" s="1047" t="s">
        <v>382</v>
      </c>
      <c r="C128" s="1165"/>
      <c r="D128" s="1084">
        <f t="shared" si="4"/>
        <v>0</v>
      </c>
      <c r="E128" s="1090"/>
      <c r="F128" s="1090"/>
      <c r="G128" s="1085"/>
      <c r="H128" s="1160">
        <f t="shared" si="3"/>
        <v>0</v>
      </c>
      <c r="I128" s="217"/>
      <c r="J128" s="217"/>
      <c r="K128" s="411"/>
    </row>
    <row r="129" spans="1:11" ht="12" customHeight="1" thickBot="1" x14ac:dyDescent="0.3">
      <c r="A129" s="12" t="s">
        <v>378</v>
      </c>
      <c r="B129" s="1047" t="s">
        <v>381</v>
      </c>
      <c r="C129" s="1128">
        <v>10344167</v>
      </c>
      <c r="D129" s="1089">
        <f>SUM(E129:G129)+2400000+1348000+600000+1000000</f>
        <v>48499500</v>
      </c>
      <c r="E129" s="1099">
        <f>42072000+1079500</f>
        <v>43151500</v>
      </c>
      <c r="F129" s="1099"/>
      <c r="G129" s="1099"/>
      <c r="H129" s="1164">
        <f t="shared" si="3"/>
        <v>65710721</v>
      </c>
      <c r="I129" s="415">
        <v>65710721</v>
      </c>
      <c r="J129" s="415"/>
      <c r="K129" s="415"/>
    </row>
    <row r="130" spans="1:11" ht="12" customHeight="1" thickBot="1" x14ac:dyDescent="0.3">
      <c r="A130" s="19" t="s">
        <v>33</v>
      </c>
      <c r="B130" s="950" t="s">
        <v>573</v>
      </c>
      <c r="C130" s="1111">
        <f>C116+C95</f>
        <v>2630343984</v>
      </c>
      <c r="D130" s="1077">
        <f>D116+D95</f>
        <v>3271893962</v>
      </c>
      <c r="E130" s="1077">
        <f>+E95+E116</f>
        <v>469288333</v>
      </c>
      <c r="F130" s="1076">
        <f>+F95+F116</f>
        <v>225723850</v>
      </c>
      <c r="G130" s="1076">
        <f>+G95+G116</f>
        <v>1397286981</v>
      </c>
      <c r="H130" s="1114">
        <f t="shared" si="3"/>
        <v>2973125008</v>
      </c>
      <c r="I130" s="443">
        <f>+I95+I116</f>
        <v>1211617179</v>
      </c>
      <c r="J130" s="233">
        <f>+J95+J116</f>
        <v>244267775</v>
      </c>
      <c r="K130" s="233">
        <f>+K95+K116</f>
        <v>1517240054</v>
      </c>
    </row>
    <row r="131" spans="1:11" ht="12" customHeight="1" thickBot="1" x14ac:dyDescent="0.3">
      <c r="A131" s="19" t="s">
        <v>34</v>
      </c>
      <c r="B131" s="950" t="s">
        <v>574</v>
      </c>
      <c r="C131" s="1111">
        <f>SUM(C132:C134)</f>
        <v>3044789</v>
      </c>
      <c r="D131" s="1077">
        <f>SUM(D132:D134)</f>
        <v>103161000</v>
      </c>
      <c r="E131" s="1077">
        <f>+E132+E133+E134</f>
        <v>103161000</v>
      </c>
      <c r="F131" s="1076">
        <f>+F132+F133+F134</f>
        <v>0</v>
      </c>
      <c r="G131" s="1076">
        <f>+G132+G133+G134</f>
        <v>0</v>
      </c>
      <c r="H131" s="1114">
        <f t="shared" si="3"/>
        <v>108486704</v>
      </c>
      <c r="I131" s="443">
        <f>+I132+I133+I134</f>
        <v>108486704</v>
      </c>
      <c r="J131" s="233">
        <f>+J132+J133+J134</f>
        <v>0</v>
      </c>
      <c r="K131" s="233">
        <f>+K132+K133+K134</f>
        <v>0</v>
      </c>
    </row>
    <row r="132" spans="1:11" ht="12" customHeight="1" x14ac:dyDescent="0.25">
      <c r="A132" s="14" t="s">
        <v>276</v>
      </c>
      <c r="B132" s="1040" t="s">
        <v>575</v>
      </c>
      <c r="C132" s="1128">
        <v>3044789</v>
      </c>
      <c r="D132" s="1079">
        <f>SUM(E132:G132)</f>
        <v>3161000</v>
      </c>
      <c r="E132" s="1085">
        <v>3161000</v>
      </c>
      <c r="F132" s="1085"/>
      <c r="G132" s="1085"/>
      <c r="H132" s="1159">
        <f t="shared" si="3"/>
        <v>8486704</v>
      </c>
      <c r="I132" s="411">
        <f>4042704+4444000</f>
        <v>8486704</v>
      </c>
      <c r="J132" s="411"/>
      <c r="K132" s="411"/>
    </row>
    <row r="133" spans="1:11" ht="12" customHeight="1" x14ac:dyDescent="0.25">
      <c r="A133" s="14" t="s">
        <v>279</v>
      </c>
      <c r="B133" s="1040" t="s">
        <v>576</v>
      </c>
      <c r="C133" s="1135"/>
      <c r="D133" s="1097">
        <f>SUM(E133:G133)</f>
        <v>100000000</v>
      </c>
      <c r="E133" s="1090">
        <v>100000000</v>
      </c>
      <c r="F133" s="1090"/>
      <c r="G133" s="1090"/>
      <c r="H133" s="1159">
        <f t="shared" si="3"/>
        <v>100000000</v>
      </c>
      <c r="I133" s="217">
        <v>100000000</v>
      </c>
      <c r="J133" s="217"/>
      <c r="K133" s="217"/>
    </row>
    <row r="134" spans="1:11" ht="12" customHeight="1" thickBot="1" x14ac:dyDescent="0.3">
      <c r="A134" s="12" t="s">
        <v>280</v>
      </c>
      <c r="B134" s="1040" t="s">
        <v>577</v>
      </c>
      <c r="C134" s="1135"/>
      <c r="D134" s="1104">
        <f>SUM(E134:G134)</f>
        <v>0</v>
      </c>
      <c r="E134" s="1090"/>
      <c r="F134" s="1090"/>
      <c r="G134" s="1090"/>
      <c r="H134" s="1166">
        <f t="shared" si="3"/>
        <v>0</v>
      </c>
      <c r="I134" s="217"/>
      <c r="J134" s="217"/>
      <c r="K134" s="217"/>
    </row>
    <row r="135" spans="1:11" ht="12" customHeight="1" thickBot="1" x14ac:dyDescent="0.3">
      <c r="A135" s="19" t="s">
        <v>35</v>
      </c>
      <c r="B135" s="950" t="s">
        <v>578</v>
      </c>
      <c r="C135" s="1168">
        <f>SUM(C136:C141)</f>
        <v>0</v>
      </c>
      <c r="D135" s="1113">
        <f>SUM(D136:D141)</f>
        <v>0</v>
      </c>
      <c r="E135" s="1077">
        <f>+E136+E137+E138+E139+E140+E141</f>
        <v>0</v>
      </c>
      <c r="F135" s="1076">
        <f>+F136+F137+F138+F139+F140+F141</f>
        <v>0</v>
      </c>
      <c r="G135" s="1076">
        <f>SUM(G136:G141)</f>
        <v>0</v>
      </c>
      <c r="H135" s="1114">
        <f t="shared" si="3"/>
        <v>0</v>
      </c>
      <c r="I135" s="443">
        <f>+I136+I137+I138+I139+I140+I141</f>
        <v>0</v>
      </c>
      <c r="J135" s="233">
        <f>+J136+J137+J138+J139+J140+J141</f>
        <v>0</v>
      </c>
      <c r="K135" s="233">
        <f>SUM(K136:K141)</f>
        <v>0</v>
      </c>
    </row>
    <row r="136" spans="1:11" ht="12" customHeight="1" x14ac:dyDescent="0.25">
      <c r="A136" s="14" t="s">
        <v>107</v>
      </c>
      <c r="B136" s="1044" t="s">
        <v>579</v>
      </c>
      <c r="C136" s="1139"/>
      <c r="D136" s="1079">
        <f t="shared" ref="D136:D141" si="5">SUM(E136:G136)</f>
        <v>0</v>
      </c>
      <c r="E136" s="1090"/>
      <c r="F136" s="1090"/>
      <c r="G136" s="1090"/>
      <c r="H136" s="1160">
        <f t="shared" si="3"/>
        <v>0</v>
      </c>
      <c r="I136" s="217"/>
      <c r="J136" s="217"/>
      <c r="K136" s="217"/>
    </row>
    <row r="137" spans="1:11" ht="12" customHeight="1" x14ac:dyDescent="0.25">
      <c r="A137" s="14" t="s">
        <v>108</v>
      </c>
      <c r="B137" s="1044" t="s">
        <v>580</v>
      </c>
      <c r="C137" s="1139"/>
      <c r="D137" s="1097">
        <f t="shared" si="5"/>
        <v>0</v>
      </c>
      <c r="E137" s="1090"/>
      <c r="F137" s="1090"/>
      <c r="G137" s="1090"/>
      <c r="H137" s="1160">
        <f t="shared" si="3"/>
        <v>0</v>
      </c>
      <c r="I137" s="217"/>
      <c r="J137" s="217"/>
      <c r="K137" s="217"/>
    </row>
    <row r="138" spans="1:11" ht="12" customHeight="1" x14ac:dyDescent="0.25">
      <c r="A138" s="14" t="s">
        <v>109</v>
      </c>
      <c r="B138" s="1044" t="s">
        <v>581</v>
      </c>
      <c r="C138" s="1139"/>
      <c r="D138" s="1097">
        <f t="shared" si="5"/>
        <v>0</v>
      </c>
      <c r="E138" s="1090"/>
      <c r="F138" s="1090"/>
      <c r="G138" s="1090"/>
      <c r="H138" s="1160">
        <f t="shared" si="3"/>
        <v>0</v>
      </c>
      <c r="I138" s="217"/>
      <c r="J138" s="217"/>
      <c r="K138" s="217"/>
    </row>
    <row r="139" spans="1:11" ht="12" customHeight="1" x14ac:dyDescent="0.25">
      <c r="A139" s="14" t="s">
        <v>182</v>
      </c>
      <c r="B139" s="1044" t="s">
        <v>582</v>
      </c>
      <c r="C139" s="1139"/>
      <c r="D139" s="1097">
        <f t="shared" si="5"/>
        <v>0</v>
      </c>
      <c r="E139" s="1090"/>
      <c r="F139" s="1090"/>
      <c r="G139" s="1090"/>
      <c r="H139" s="1160">
        <f t="shared" si="3"/>
        <v>0</v>
      </c>
      <c r="I139" s="217"/>
      <c r="J139" s="217"/>
      <c r="K139" s="217"/>
    </row>
    <row r="140" spans="1:11" ht="12" customHeight="1" x14ac:dyDescent="0.25">
      <c r="A140" s="14" t="s">
        <v>183</v>
      </c>
      <c r="B140" s="1044" t="s">
        <v>583</v>
      </c>
      <c r="C140" s="1139"/>
      <c r="D140" s="1097">
        <f t="shared" si="5"/>
        <v>0</v>
      </c>
      <c r="E140" s="1090"/>
      <c r="F140" s="1090"/>
      <c r="G140" s="1090"/>
      <c r="H140" s="1160">
        <f t="shared" si="3"/>
        <v>0</v>
      </c>
      <c r="I140" s="217"/>
      <c r="J140" s="217"/>
      <c r="K140" s="217"/>
    </row>
    <row r="141" spans="1:11" ht="12" customHeight="1" thickBot="1" x14ac:dyDescent="0.3">
      <c r="A141" s="12" t="s">
        <v>184</v>
      </c>
      <c r="B141" s="1044" t="s">
        <v>584</v>
      </c>
      <c r="C141" s="1139"/>
      <c r="D141" s="1104">
        <f t="shared" si="5"/>
        <v>0</v>
      </c>
      <c r="E141" s="1090"/>
      <c r="F141" s="1090"/>
      <c r="G141" s="1090"/>
      <c r="H141" s="1166">
        <f t="shared" si="3"/>
        <v>0</v>
      </c>
      <c r="I141" s="217"/>
      <c r="J141" s="217"/>
      <c r="K141" s="217"/>
    </row>
    <row r="142" spans="1:11" ht="12" customHeight="1" thickBot="1" x14ac:dyDescent="0.3">
      <c r="A142" s="19" t="s">
        <v>36</v>
      </c>
      <c r="B142" s="950" t="s">
        <v>585</v>
      </c>
      <c r="C142" s="1111">
        <f>SUM(C143:C146)</f>
        <v>33301994</v>
      </c>
      <c r="D142" s="1077">
        <f>SUM(D143:D146)</f>
        <v>35164932</v>
      </c>
      <c r="E142" s="1105">
        <f>+E143+E144+E145+E146</f>
        <v>35164932</v>
      </c>
      <c r="F142" s="1106">
        <f>+F143+F144+F145+F146</f>
        <v>0</v>
      </c>
      <c r="G142" s="1106">
        <f>+G143+G144+G145+G146</f>
        <v>0</v>
      </c>
      <c r="H142" s="1114">
        <f t="shared" si="3"/>
        <v>38167591</v>
      </c>
      <c r="I142" s="448">
        <f>+I143+I144+I145+I146</f>
        <v>38167591</v>
      </c>
      <c r="J142" s="238">
        <f>+J143+J144+J145+J146</f>
        <v>0</v>
      </c>
      <c r="K142" s="238">
        <f>+K143+K144+K145+K146</f>
        <v>0</v>
      </c>
    </row>
    <row r="143" spans="1:11" ht="12" customHeight="1" x14ac:dyDescent="0.25">
      <c r="A143" s="14" t="s">
        <v>110</v>
      </c>
      <c r="B143" s="1044" t="s">
        <v>386</v>
      </c>
      <c r="C143" s="1139"/>
      <c r="D143" s="1079">
        <f>SUM(E143:G143)</f>
        <v>0</v>
      </c>
      <c r="E143" s="1090"/>
      <c r="F143" s="1090"/>
      <c r="G143" s="1090"/>
      <c r="H143" s="1160">
        <f t="shared" si="3"/>
        <v>0</v>
      </c>
      <c r="I143" s="217"/>
      <c r="J143" s="217"/>
      <c r="K143" s="217"/>
    </row>
    <row r="144" spans="1:11" ht="12" customHeight="1" x14ac:dyDescent="0.25">
      <c r="A144" s="14" t="s">
        <v>111</v>
      </c>
      <c r="B144" s="1044" t="s">
        <v>387</v>
      </c>
      <c r="C144" s="1133">
        <v>33301994</v>
      </c>
      <c r="D144" s="1097">
        <f>SUM(E144:G144)</f>
        <v>35164932</v>
      </c>
      <c r="E144" s="1090">
        <f>35164932</f>
        <v>35164932</v>
      </c>
      <c r="F144" s="1090"/>
      <c r="G144" s="1090"/>
      <c r="H144" s="1159">
        <f t="shared" si="3"/>
        <v>38167591</v>
      </c>
      <c r="I144" s="217">
        <v>38167591</v>
      </c>
      <c r="J144" s="217"/>
      <c r="K144" s="217"/>
    </row>
    <row r="145" spans="1:11" ht="12" customHeight="1" x14ac:dyDescent="0.25">
      <c r="A145" s="14" t="s">
        <v>300</v>
      </c>
      <c r="B145" s="1044" t="s">
        <v>586</v>
      </c>
      <c r="C145" s="1139"/>
      <c r="D145" s="1097">
        <f>SUM(E145:G145)</f>
        <v>0</v>
      </c>
      <c r="E145" s="1090"/>
      <c r="F145" s="1090"/>
      <c r="G145" s="1090"/>
      <c r="H145" s="1160">
        <f t="shared" si="3"/>
        <v>0</v>
      </c>
      <c r="I145" s="217"/>
      <c r="J145" s="217"/>
      <c r="K145" s="217"/>
    </row>
    <row r="146" spans="1:11" ht="12" customHeight="1" thickBot="1" x14ac:dyDescent="0.3">
      <c r="A146" s="12" t="s">
        <v>301</v>
      </c>
      <c r="B146" s="1045" t="s">
        <v>405</v>
      </c>
      <c r="C146" s="1140"/>
      <c r="D146" s="1104">
        <f>SUM(E146:G146)</f>
        <v>0</v>
      </c>
      <c r="E146" s="1090"/>
      <c r="F146" s="1090"/>
      <c r="G146" s="1090"/>
      <c r="H146" s="1166">
        <f t="shared" si="3"/>
        <v>0</v>
      </c>
      <c r="I146" s="217"/>
      <c r="J146" s="217"/>
      <c r="K146" s="217"/>
    </row>
    <row r="147" spans="1:11" ht="12" customHeight="1" thickBot="1" x14ac:dyDescent="0.3">
      <c r="A147" s="19" t="s">
        <v>37</v>
      </c>
      <c r="B147" s="950" t="s">
        <v>587</v>
      </c>
      <c r="C147" s="1114">
        <f>SUM(C148:C152)</f>
        <v>0</v>
      </c>
      <c r="D147" s="1113">
        <f>SUM(D148:D152)</f>
        <v>0</v>
      </c>
      <c r="E147" s="1141">
        <f>+E148+E149+E150+E151+E152</f>
        <v>0</v>
      </c>
      <c r="F147" s="1142">
        <f>+F148+F149+F150+F151+F152</f>
        <v>0</v>
      </c>
      <c r="G147" s="1142">
        <f>SUM(G148:G152)</f>
        <v>0</v>
      </c>
      <c r="H147" s="1114">
        <f t="shared" si="3"/>
        <v>0</v>
      </c>
      <c r="I147" s="459">
        <f>+I148+I149+I150+I151+I152</f>
        <v>0</v>
      </c>
      <c r="J147" s="241">
        <f>+J148+J149+J150+J151+J152</f>
        <v>0</v>
      </c>
      <c r="K147" s="241">
        <f>SUM(K148:K152)</f>
        <v>0</v>
      </c>
    </row>
    <row r="148" spans="1:11" ht="12" customHeight="1" x14ac:dyDescent="0.25">
      <c r="A148" s="14" t="s">
        <v>112</v>
      </c>
      <c r="B148" s="1044" t="s">
        <v>588</v>
      </c>
      <c r="C148" s="1139"/>
      <c r="D148" s="1079">
        <f t="shared" ref="D148:D154" si="6">SUM(E148:G148)</f>
        <v>0</v>
      </c>
      <c r="E148" s="1090"/>
      <c r="F148" s="1090"/>
      <c r="G148" s="1090"/>
      <c r="H148" s="1160">
        <f t="shared" si="3"/>
        <v>0</v>
      </c>
      <c r="I148" s="217"/>
      <c r="J148" s="217"/>
      <c r="K148" s="217"/>
    </row>
    <row r="149" spans="1:11" ht="12" customHeight="1" x14ac:dyDescent="0.25">
      <c r="A149" s="14" t="s">
        <v>113</v>
      </c>
      <c r="B149" s="1044" t="s">
        <v>589</v>
      </c>
      <c r="C149" s="1133"/>
      <c r="D149" s="1097">
        <f t="shared" si="6"/>
        <v>0</v>
      </c>
      <c r="E149" s="1090"/>
      <c r="F149" s="1090"/>
      <c r="G149" s="1090"/>
      <c r="H149" s="1160">
        <f t="shared" si="3"/>
        <v>0</v>
      </c>
      <c r="I149" s="217"/>
      <c r="J149" s="217"/>
      <c r="K149" s="217"/>
    </row>
    <row r="150" spans="1:11" ht="12" customHeight="1" x14ac:dyDescent="0.25">
      <c r="A150" s="14" t="s">
        <v>312</v>
      </c>
      <c r="B150" s="1044" t="s">
        <v>590</v>
      </c>
      <c r="C150" s="1139"/>
      <c r="D150" s="1097">
        <f t="shared" si="6"/>
        <v>0</v>
      </c>
      <c r="E150" s="1090"/>
      <c r="F150" s="1090"/>
      <c r="G150" s="1090"/>
      <c r="H150" s="1160">
        <f t="shared" si="3"/>
        <v>0</v>
      </c>
      <c r="I150" s="217"/>
      <c r="J150" s="217"/>
      <c r="K150" s="217"/>
    </row>
    <row r="151" spans="1:11" ht="12" customHeight="1" x14ac:dyDescent="0.25">
      <c r="A151" s="14" t="s">
        <v>313</v>
      </c>
      <c r="B151" s="1044" t="s">
        <v>591</v>
      </c>
      <c r="C151" s="1139"/>
      <c r="D151" s="1097">
        <f t="shared" si="6"/>
        <v>0</v>
      </c>
      <c r="E151" s="1090"/>
      <c r="F151" s="1090"/>
      <c r="G151" s="1090"/>
      <c r="H151" s="1160">
        <f t="shared" si="3"/>
        <v>0</v>
      </c>
      <c r="I151" s="217"/>
      <c r="J151" s="217"/>
      <c r="K151" s="217"/>
    </row>
    <row r="152" spans="1:11" ht="12" customHeight="1" thickBot="1" x14ac:dyDescent="0.3">
      <c r="A152" s="14" t="s">
        <v>592</v>
      </c>
      <c r="B152" s="1044" t="s">
        <v>593</v>
      </c>
      <c r="C152" s="1139"/>
      <c r="D152" s="1104">
        <f t="shared" si="6"/>
        <v>0</v>
      </c>
      <c r="E152" s="1109"/>
      <c r="F152" s="1109"/>
      <c r="G152" s="1090"/>
      <c r="H152" s="1166">
        <f t="shared" si="3"/>
        <v>0</v>
      </c>
      <c r="I152" s="218"/>
      <c r="J152" s="218"/>
      <c r="K152" s="217"/>
    </row>
    <row r="153" spans="1:11" ht="12" customHeight="1" thickBot="1" x14ac:dyDescent="0.3">
      <c r="A153" s="19" t="s">
        <v>38</v>
      </c>
      <c r="B153" s="950" t="s">
        <v>594</v>
      </c>
      <c r="C153" s="1114"/>
      <c r="D153" s="1113">
        <f t="shared" si="6"/>
        <v>0</v>
      </c>
      <c r="E153" s="1141"/>
      <c r="F153" s="1142"/>
      <c r="G153" s="1143"/>
      <c r="H153" s="1114">
        <f t="shared" si="3"/>
        <v>0</v>
      </c>
      <c r="I153" s="459"/>
      <c r="J153" s="241"/>
      <c r="K153" s="400"/>
    </row>
    <row r="154" spans="1:11" ht="12" customHeight="1" thickBot="1" x14ac:dyDescent="0.3">
      <c r="A154" s="19" t="s">
        <v>39</v>
      </c>
      <c r="B154" s="950" t="s">
        <v>595</v>
      </c>
      <c r="C154" s="1114"/>
      <c r="D154" s="1113">
        <f t="shared" si="6"/>
        <v>0</v>
      </c>
      <c r="E154" s="1141"/>
      <c r="F154" s="1142"/>
      <c r="G154" s="1143"/>
      <c r="H154" s="1114">
        <f t="shared" si="3"/>
        <v>0</v>
      </c>
      <c r="I154" s="459"/>
      <c r="J154" s="241"/>
      <c r="K154" s="400"/>
    </row>
    <row r="155" spans="1:11" ht="15" customHeight="1" thickBot="1" x14ac:dyDescent="0.3">
      <c r="A155" s="19" t="s">
        <v>40</v>
      </c>
      <c r="B155" s="950" t="s">
        <v>596</v>
      </c>
      <c r="C155" s="1111">
        <f>C154+C153+C147+C142+C135+C131</f>
        <v>36346783</v>
      </c>
      <c r="D155" s="1077">
        <f>D154+D153+D147+D142+D135+D131</f>
        <v>138325932</v>
      </c>
      <c r="E155" s="1144">
        <f>+E131+E135+E142+E147+E153+E154</f>
        <v>138325932</v>
      </c>
      <c r="F155" s="1145">
        <f>+F131+F135+F142+F147+F153+F154</f>
        <v>0</v>
      </c>
      <c r="G155" s="1145">
        <f>+G131+G135+G142+G147+G153+G154</f>
        <v>0</v>
      </c>
      <c r="H155" s="1114">
        <f t="shared" si="3"/>
        <v>146654295</v>
      </c>
      <c r="I155" s="461">
        <f>+I131+I135+I142+I147+I153+I154</f>
        <v>146654295</v>
      </c>
      <c r="J155" s="329">
        <f>+J131+J135+J142+J147+J153+J154</f>
        <v>0</v>
      </c>
      <c r="K155" s="329">
        <f>+K131+K135+K142+K147+K153+K154</f>
        <v>0</v>
      </c>
    </row>
    <row r="156" spans="1:11" s="444" customFormat="1" ht="12.95" customHeight="1" thickBot="1" x14ac:dyDescent="0.25">
      <c r="A156" s="231" t="s">
        <v>41</v>
      </c>
      <c r="B156" s="954" t="s">
        <v>597</v>
      </c>
      <c r="C156" s="1111">
        <f>C155+C130</f>
        <v>2666690767</v>
      </c>
      <c r="D156" s="1077">
        <f>D155+D130</f>
        <v>3410219894</v>
      </c>
      <c r="E156" s="1144">
        <f>+E130+E155</f>
        <v>607614265</v>
      </c>
      <c r="F156" s="1145">
        <f>+F130+F155</f>
        <v>225723850</v>
      </c>
      <c r="G156" s="1145">
        <f>+G130+G155</f>
        <v>1397286981</v>
      </c>
      <c r="H156" s="1114">
        <f t="shared" si="3"/>
        <v>3119779303</v>
      </c>
      <c r="I156" s="461">
        <f>+I130+I155</f>
        <v>1358271474</v>
      </c>
      <c r="J156" s="329">
        <f>+J130+J155</f>
        <v>244267775</v>
      </c>
      <c r="K156" s="329">
        <f>+K130+K155</f>
        <v>1517240054</v>
      </c>
    </row>
    <row r="160" spans="1:11" ht="16.5" customHeight="1" x14ac:dyDescent="0.25"/>
  </sheetData>
  <mergeCells count="5">
    <mergeCell ref="A3:H3"/>
    <mergeCell ref="A4:B4"/>
    <mergeCell ref="A91:H91"/>
    <mergeCell ref="A92:B92"/>
    <mergeCell ref="A1:H1"/>
  </mergeCells>
  <pageMargins left="0.75" right="0.75" top="1" bottom="1" header="0.5" footer="0.5"/>
  <pageSetup paperSize="9" scale="70" orientation="portrait" r:id="rId1"/>
  <headerFooter alignWithMargins="0">
    <oddHeader>&amp;R1.sz. tájékoztató tábla a ../......(......) önkormányzati rendelethez
TÁJÉKOZTATÓ TÁBLA</oddHeader>
  </headerFooter>
  <rowBreaks count="1" manualBreakCount="1">
    <brk id="76" max="7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view="pageLayout" zoomScale="70" zoomScaleNormal="100" zoomScalePageLayoutView="70" workbookViewId="0">
      <selection activeCell="L3" sqref="L3:N3"/>
    </sheetView>
  </sheetViews>
  <sheetFormatPr defaultRowHeight="12.75" x14ac:dyDescent="0.2"/>
  <cols>
    <col min="1" max="1" width="6.83203125" style="39" customWidth="1"/>
    <col min="2" max="2" width="49.6640625" style="38" customWidth="1"/>
    <col min="3" max="8" width="12.83203125" style="38" customWidth="1"/>
    <col min="9" max="9" width="13.83203125" style="38" customWidth="1"/>
    <col min="10" max="256" width="9.33203125" style="38"/>
    <col min="257" max="257" width="6.83203125" style="38" customWidth="1"/>
    <col min="258" max="258" width="49.6640625" style="38" customWidth="1"/>
    <col min="259" max="264" width="12.83203125" style="38" customWidth="1"/>
    <col min="265" max="265" width="13.83203125" style="38" customWidth="1"/>
    <col min="266" max="512" width="9.33203125" style="38"/>
    <col min="513" max="513" width="6.83203125" style="38" customWidth="1"/>
    <col min="514" max="514" width="49.6640625" style="38" customWidth="1"/>
    <col min="515" max="520" width="12.83203125" style="38" customWidth="1"/>
    <col min="521" max="521" width="13.83203125" style="38" customWidth="1"/>
    <col min="522" max="768" width="9.33203125" style="38"/>
    <col min="769" max="769" width="6.83203125" style="38" customWidth="1"/>
    <col min="770" max="770" width="49.6640625" style="38" customWidth="1"/>
    <col min="771" max="776" width="12.83203125" style="38" customWidth="1"/>
    <col min="777" max="777" width="13.83203125" style="38" customWidth="1"/>
    <col min="778" max="1024" width="9.33203125" style="38"/>
    <col min="1025" max="1025" width="6.83203125" style="38" customWidth="1"/>
    <col min="1026" max="1026" width="49.6640625" style="38" customWidth="1"/>
    <col min="1027" max="1032" width="12.83203125" style="38" customWidth="1"/>
    <col min="1033" max="1033" width="13.83203125" style="38" customWidth="1"/>
    <col min="1034" max="1280" width="9.33203125" style="38"/>
    <col min="1281" max="1281" width="6.83203125" style="38" customWidth="1"/>
    <col min="1282" max="1282" width="49.6640625" style="38" customWidth="1"/>
    <col min="1283" max="1288" width="12.83203125" style="38" customWidth="1"/>
    <col min="1289" max="1289" width="13.83203125" style="38" customWidth="1"/>
    <col min="1290" max="1536" width="9.33203125" style="38"/>
    <col min="1537" max="1537" width="6.83203125" style="38" customWidth="1"/>
    <col min="1538" max="1538" width="49.6640625" style="38" customWidth="1"/>
    <col min="1539" max="1544" width="12.83203125" style="38" customWidth="1"/>
    <col min="1545" max="1545" width="13.83203125" style="38" customWidth="1"/>
    <col min="1546" max="1792" width="9.33203125" style="38"/>
    <col min="1793" max="1793" width="6.83203125" style="38" customWidth="1"/>
    <col min="1794" max="1794" width="49.6640625" style="38" customWidth="1"/>
    <col min="1795" max="1800" width="12.83203125" style="38" customWidth="1"/>
    <col min="1801" max="1801" width="13.83203125" style="38" customWidth="1"/>
    <col min="1802" max="2048" width="9.33203125" style="38"/>
    <col min="2049" max="2049" width="6.83203125" style="38" customWidth="1"/>
    <col min="2050" max="2050" width="49.6640625" style="38" customWidth="1"/>
    <col min="2051" max="2056" width="12.83203125" style="38" customWidth="1"/>
    <col min="2057" max="2057" width="13.83203125" style="38" customWidth="1"/>
    <col min="2058" max="2304" width="9.33203125" style="38"/>
    <col min="2305" max="2305" width="6.83203125" style="38" customWidth="1"/>
    <col min="2306" max="2306" width="49.6640625" style="38" customWidth="1"/>
    <col min="2307" max="2312" width="12.83203125" style="38" customWidth="1"/>
    <col min="2313" max="2313" width="13.83203125" style="38" customWidth="1"/>
    <col min="2314" max="2560" width="9.33203125" style="38"/>
    <col min="2561" max="2561" width="6.83203125" style="38" customWidth="1"/>
    <col min="2562" max="2562" width="49.6640625" style="38" customWidth="1"/>
    <col min="2563" max="2568" width="12.83203125" style="38" customWidth="1"/>
    <col min="2569" max="2569" width="13.83203125" style="38" customWidth="1"/>
    <col min="2570" max="2816" width="9.33203125" style="38"/>
    <col min="2817" max="2817" width="6.83203125" style="38" customWidth="1"/>
    <col min="2818" max="2818" width="49.6640625" style="38" customWidth="1"/>
    <col min="2819" max="2824" width="12.83203125" style="38" customWidth="1"/>
    <col min="2825" max="2825" width="13.83203125" style="38" customWidth="1"/>
    <col min="2826" max="3072" width="9.33203125" style="38"/>
    <col min="3073" max="3073" width="6.83203125" style="38" customWidth="1"/>
    <col min="3074" max="3074" width="49.6640625" style="38" customWidth="1"/>
    <col min="3075" max="3080" width="12.83203125" style="38" customWidth="1"/>
    <col min="3081" max="3081" width="13.83203125" style="38" customWidth="1"/>
    <col min="3082" max="3328" width="9.33203125" style="38"/>
    <col min="3329" max="3329" width="6.83203125" style="38" customWidth="1"/>
    <col min="3330" max="3330" width="49.6640625" style="38" customWidth="1"/>
    <col min="3331" max="3336" width="12.83203125" style="38" customWidth="1"/>
    <col min="3337" max="3337" width="13.83203125" style="38" customWidth="1"/>
    <col min="3338" max="3584" width="9.33203125" style="38"/>
    <col min="3585" max="3585" width="6.83203125" style="38" customWidth="1"/>
    <col min="3586" max="3586" width="49.6640625" style="38" customWidth="1"/>
    <col min="3587" max="3592" width="12.83203125" style="38" customWidth="1"/>
    <col min="3593" max="3593" width="13.83203125" style="38" customWidth="1"/>
    <col min="3594" max="3840" width="9.33203125" style="38"/>
    <col min="3841" max="3841" width="6.83203125" style="38" customWidth="1"/>
    <col min="3842" max="3842" width="49.6640625" style="38" customWidth="1"/>
    <col min="3843" max="3848" width="12.83203125" style="38" customWidth="1"/>
    <col min="3849" max="3849" width="13.83203125" style="38" customWidth="1"/>
    <col min="3850" max="4096" width="9.33203125" style="38"/>
    <col min="4097" max="4097" width="6.83203125" style="38" customWidth="1"/>
    <col min="4098" max="4098" width="49.6640625" style="38" customWidth="1"/>
    <col min="4099" max="4104" width="12.83203125" style="38" customWidth="1"/>
    <col min="4105" max="4105" width="13.83203125" style="38" customWidth="1"/>
    <col min="4106" max="4352" width="9.33203125" style="38"/>
    <col min="4353" max="4353" width="6.83203125" style="38" customWidth="1"/>
    <col min="4354" max="4354" width="49.6640625" style="38" customWidth="1"/>
    <col min="4355" max="4360" width="12.83203125" style="38" customWidth="1"/>
    <col min="4361" max="4361" width="13.83203125" style="38" customWidth="1"/>
    <col min="4362" max="4608" width="9.33203125" style="38"/>
    <col min="4609" max="4609" width="6.83203125" style="38" customWidth="1"/>
    <col min="4610" max="4610" width="49.6640625" style="38" customWidth="1"/>
    <col min="4611" max="4616" width="12.83203125" style="38" customWidth="1"/>
    <col min="4617" max="4617" width="13.83203125" style="38" customWidth="1"/>
    <col min="4618" max="4864" width="9.33203125" style="38"/>
    <col min="4865" max="4865" width="6.83203125" style="38" customWidth="1"/>
    <col min="4866" max="4866" width="49.6640625" style="38" customWidth="1"/>
    <col min="4867" max="4872" width="12.83203125" style="38" customWidth="1"/>
    <col min="4873" max="4873" width="13.83203125" style="38" customWidth="1"/>
    <col min="4874" max="5120" width="9.33203125" style="38"/>
    <col min="5121" max="5121" width="6.83203125" style="38" customWidth="1"/>
    <col min="5122" max="5122" width="49.6640625" style="38" customWidth="1"/>
    <col min="5123" max="5128" width="12.83203125" style="38" customWidth="1"/>
    <col min="5129" max="5129" width="13.83203125" style="38" customWidth="1"/>
    <col min="5130" max="5376" width="9.33203125" style="38"/>
    <col min="5377" max="5377" width="6.83203125" style="38" customWidth="1"/>
    <col min="5378" max="5378" width="49.6640625" style="38" customWidth="1"/>
    <col min="5379" max="5384" width="12.83203125" style="38" customWidth="1"/>
    <col min="5385" max="5385" width="13.83203125" style="38" customWidth="1"/>
    <col min="5386" max="5632" width="9.33203125" style="38"/>
    <col min="5633" max="5633" width="6.83203125" style="38" customWidth="1"/>
    <col min="5634" max="5634" width="49.6640625" style="38" customWidth="1"/>
    <col min="5635" max="5640" width="12.83203125" style="38" customWidth="1"/>
    <col min="5641" max="5641" width="13.83203125" style="38" customWidth="1"/>
    <col min="5642" max="5888" width="9.33203125" style="38"/>
    <col min="5889" max="5889" width="6.83203125" style="38" customWidth="1"/>
    <col min="5890" max="5890" width="49.6640625" style="38" customWidth="1"/>
    <col min="5891" max="5896" width="12.83203125" style="38" customWidth="1"/>
    <col min="5897" max="5897" width="13.83203125" style="38" customWidth="1"/>
    <col min="5898" max="6144" width="9.33203125" style="38"/>
    <col min="6145" max="6145" width="6.83203125" style="38" customWidth="1"/>
    <col min="6146" max="6146" width="49.6640625" style="38" customWidth="1"/>
    <col min="6147" max="6152" width="12.83203125" style="38" customWidth="1"/>
    <col min="6153" max="6153" width="13.83203125" style="38" customWidth="1"/>
    <col min="6154" max="6400" width="9.33203125" style="38"/>
    <col min="6401" max="6401" width="6.83203125" style="38" customWidth="1"/>
    <col min="6402" max="6402" width="49.6640625" style="38" customWidth="1"/>
    <col min="6403" max="6408" width="12.83203125" style="38" customWidth="1"/>
    <col min="6409" max="6409" width="13.83203125" style="38" customWidth="1"/>
    <col min="6410" max="6656" width="9.33203125" style="38"/>
    <col min="6657" max="6657" width="6.83203125" style="38" customWidth="1"/>
    <col min="6658" max="6658" width="49.6640625" style="38" customWidth="1"/>
    <col min="6659" max="6664" width="12.83203125" style="38" customWidth="1"/>
    <col min="6665" max="6665" width="13.83203125" style="38" customWidth="1"/>
    <col min="6666" max="6912" width="9.33203125" style="38"/>
    <col min="6913" max="6913" width="6.83203125" style="38" customWidth="1"/>
    <col min="6914" max="6914" width="49.6640625" style="38" customWidth="1"/>
    <col min="6915" max="6920" width="12.83203125" style="38" customWidth="1"/>
    <col min="6921" max="6921" width="13.83203125" style="38" customWidth="1"/>
    <col min="6922" max="7168" width="9.33203125" style="38"/>
    <col min="7169" max="7169" width="6.83203125" style="38" customWidth="1"/>
    <col min="7170" max="7170" width="49.6640625" style="38" customWidth="1"/>
    <col min="7171" max="7176" width="12.83203125" style="38" customWidth="1"/>
    <col min="7177" max="7177" width="13.83203125" style="38" customWidth="1"/>
    <col min="7178" max="7424" width="9.33203125" style="38"/>
    <col min="7425" max="7425" width="6.83203125" style="38" customWidth="1"/>
    <col min="7426" max="7426" width="49.6640625" style="38" customWidth="1"/>
    <col min="7427" max="7432" width="12.83203125" style="38" customWidth="1"/>
    <col min="7433" max="7433" width="13.83203125" style="38" customWidth="1"/>
    <col min="7434" max="7680" width="9.33203125" style="38"/>
    <col min="7681" max="7681" width="6.83203125" style="38" customWidth="1"/>
    <col min="7682" max="7682" width="49.6640625" style="38" customWidth="1"/>
    <col min="7683" max="7688" width="12.83203125" style="38" customWidth="1"/>
    <col min="7689" max="7689" width="13.83203125" style="38" customWidth="1"/>
    <col min="7690" max="7936" width="9.33203125" style="38"/>
    <col min="7937" max="7937" width="6.83203125" style="38" customWidth="1"/>
    <col min="7938" max="7938" width="49.6640625" style="38" customWidth="1"/>
    <col min="7939" max="7944" width="12.83203125" style="38" customWidth="1"/>
    <col min="7945" max="7945" width="13.83203125" style="38" customWidth="1"/>
    <col min="7946" max="8192" width="9.33203125" style="38"/>
    <col min="8193" max="8193" width="6.83203125" style="38" customWidth="1"/>
    <col min="8194" max="8194" width="49.6640625" style="38" customWidth="1"/>
    <col min="8195" max="8200" width="12.83203125" style="38" customWidth="1"/>
    <col min="8201" max="8201" width="13.83203125" style="38" customWidth="1"/>
    <col min="8202" max="8448" width="9.33203125" style="38"/>
    <col min="8449" max="8449" width="6.83203125" style="38" customWidth="1"/>
    <col min="8450" max="8450" width="49.6640625" style="38" customWidth="1"/>
    <col min="8451" max="8456" width="12.83203125" style="38" customWidth="1"/>
    <col min="8457" max="8457" width="13.83203125" style="38" customWidth="1"/>
    <col min="8458" max="8704" width="9.33203125" style="38"/>
    <col min="8705" max="8705" width="6.83203125" style="38" customWidth="1"/>
    <col min="8706" max="8706" width="49.6640625" style="38" customWidth="1"/>
    <col min="8707" max="8712" width="12.83203125" style="38" customWidth="1"/>
    <col min="8713" max="8713" width="13.83203125" style="38" customWidth="1"/>
    <col min="8714" max="8960" width="9.33203125" style="38"/>
    <col min="8961" max="8961" width="6.83203125" style="38" customWidth="1"/>
    <col min="8962" max="8962" width="49.6640625" style="38" customWidth="1"/>
    <col min="8963" max="8968" width="12.83203125" style="38" customWidth="1"/>
    <col min="8969" max="8969" width="13.83203125" style="38" customWidth="1"/>
    <col min="8970" max="9216" width="9.33203125" style="38"/>
    <col min="9217" max="9217" width="6.83203125" style="38" customWidth="1"/>
    <col min="9218" max="9218" width="49.6640625" style="38" customWidth="1"/>
    <col min="9219" max="9224" width="12.83203125" style="38" customWidth="1"/>
    <col min="9225" max="9225" width="13.83203125" style="38" customWidth="1"/>
    <col min="9226" max="9472" width="9.33203125" style="38"/>
    <col min="9473" max="9473" width="6.83203125" style="38" customWidth="1"/>
    <col min="9474" max="9474" width="49.6640625" style="38" customWidth="1"/>
    <col min="9475" max="9480" width="12.83203125" style="38" customWidth="1"/>
    <col min="9481" max="9481" width="13.83203125" style="38" customWidth="1"/>
    <col min="9482" max="9728" width="9.33203125" style="38"/>
    <col min="9729" max="9729" width="6.83203125" style="38" customWidth="1"/>
    <col min="9730" max="9730" width="49.6640625" style="38" customWidth="1"/>
    <col min="9731" max="9736" width="12.83203125" style="38" customWidth="1"/>
    <col min="9737" max="9737" width="13.83203125" style="38" customWidth="1"/>
    <col min="9738" max="9984" width="9.33203125" style="38"/>
    <col min="9985" max="9985" width="6.83203125" style="38" customWidth="1"/>
    <col min="9986" max="9986" width="49.6640625" style="38" customWidth="1"/>
    <col min="9987" max="9992" width="12.83203125" style="38" customWidth="1"/>
    <col min="9993" max="9993" width="13.83203125" style="38" customWidth="1"/>
    <col min="9994" max="10240" width="9.33203125" style="38"/>
    <col min="10241" max="10241" width="6.83203125" style="38" customWidth="1"/>
    <col min="10242" max="10242" width="49.6640625" style="38" customWidth="1"/>
    <col min="10243" max="10248" width="12.83203125" style="38" customWidth="1"/>
    <col min="10249" max="10249" width="13.83203125" style="38" customWidth="1"/>
    <col min="10250" max="10496" width="9.33203125" style="38"/>
    <col min="10497" max="10497" width="6.83203125" style="38" customWidth="1"/>
    <col min="10498" max="10498" width="49.6640625" style="38" customWidth="1"/>
    <col min="10499" max="10504" width="12.83203125" style="38" customWidth="1"/>
    <col min="10505" max="10505" width="13.83203125" style="38" customWidth="1"/>
    <col min="10506" max="10752" width="9.33203125" style="38"/>
    <col min="10753" max="10753" width="6.83203125" style="38" customWidth="1"/>
    <col min="10754" max="10754" width="49.6640625" style="38" customWidth="1"/>
    <col min="10755" max="10760" width="12.83203125" style="38" customWidth="1"/>
    <col min="10761" max="10761" width="13.83203125" style="38" customWidth="1"/>
    <col min="10762" max="11008" width="9.33203125" style="38"/>
    <col min="11009" max="11009" width="6.83203125" style="38" customWidth="1"/>
    <col min="11010" max="11010" width="49.6640625" style="38" customWidth="1"/>
    <col min="11011" max="11016" width="12.83203125" style="38" customWidth="1"/>
    <col min="11017" max="11017" width="13.83203125" style="38" customWidth="1"/>
    <col min="11018" max="11264" width="9.33203125" style="38"/>
    <col min="11265" max="11265" width="6.83203125" style="38" customWidth="1"/>
    <col min="11266" max="11266" width="49.6640625" style="38" customWidth="1"/>
    <col min="11267" max="11272" width="12.83203125" style="38" customWidth="1"/>
    <col min="11273" max="11273" width="13.83203125" style="38" customWidth="1"/>
    <col min="11274" max="11520" width="9.33203125" style="38"/>
    <col min="11521" max="11521" width="6.83203125" style="38" customWidth="1"/>
    <col min="11522" max="11522" width="49.6640625" style="38" customWidth="1"/>
    <col min="11523" max="11528" width="12.83203125" style="38" customWidth="1"/>
    <col min="11529" max="11529" width="13.83203125" style="38" customWidth="1"/>
    <col min="11530" max="11776" width="9.33203125" style="38"/>
    <col min="11777" max="11777" width="6.83203125" style="38" customWidth="1"/>
    <col min="11778" max="11778" width="49.6640625" style="38" customWidth="1"/>
    <col min="11779" max="11784" width="12.83203125" style="38" customWidth="1"/>
    <col min="11785" max="11785" width="13.83203125" style="38" customWidth="1"/>
    <col min="11786" max="12032" width="9.33203125" style="38"/>
    <col min="12033" max="12033" width="6.83203125" style="38" customWidth="1"/>
    <col min="12034" max="12034" width="49.6640625" style="38" customWidth="1"/>
    <col min="12035" max="12040" width="12.83203125" style="38" customWidth="1"/>
    <col min="12041" max="12041" width="13.83203125" style="38" customWidth="1"/>
    <col min="12042" max="12288" width="9.33203125" style="38"/>
    <col min="12289" max="12289" width="6.83203125" style="38" customWidth="1"/>
    <col min="12290" max="12290" width="49.6640625" style="38" customWidth="1"/>
    <col min="12291" max="12296" width="12.83203125" style="38" customWidth="1"/>
    <col min="12297" max="12297" width="13.83203125" style="38" customWidth="1"/>
    <col min="12298" max="12544" width="9.33203125" style="38"/>
    <col min="12545" max="12545" width="6.83203125" style="38" customWidth="1"/>
    <col min="12546" max="12546" width="49.6640625" style="38" customWidth="1"/>
    <col min="12547" max="12552" width="12.83203125" style="38" customWidth="1"/>
    <col min="12553" max="12553" width="13.83203125" style="38" customWidth="1"/>
    <col min="12554" max="12800" width="9.33203125" style="38"/>
    <col min="12801" max="12801" width="6.83203125" style="38" customWidth="1"/>
    <col min="12802" max="12802" width="49.6640625" style="38" customWidth="1"/>
    <col min="12803" max="12808" width="12.83203125" style="38" customWidth="1"/>
    <col min="12809" max="12809" width="13.83203125" style="38" customWidth="1"/>
    <col min="12810" max="13056" width="9.33203125" style="38"/>
    <col min="13057" max="13057" width="6.83203125" style="38" customWidth="1"/>
    <col min="13058" max="13058" width="49.6640625" style="38" customWidth="1"/>
    <col min="13059" max="13064" width="12.83203125" style="38" customWidth="1"/>
    <col min="13065" max="13065" width="13.83203125" style="38" customWidth="1"/>
    <col min="13066" max="13312" width="9.33203125" style="38"/>
    <col min="13313" max="13313" width="6.83203125" style="38" customWidth="1"/>
    <col min="13314" max="13314" width="49.6640625" style="38" customWidth="1"/>
    <col min="13315" max="13320" width="12.83203125" style="38" customWidth="1"/>
    <col min="13321" max="13321" width="13.83203125" style="38" customWidth="1"/>
    <col min="13322" max="13568" width="9.33203125" style="38"/>
    <col min="13569" max="13569" width="6.83203125" style="38" customWidth="1"/>
    <col min="13570" max="13570" width="49.6640625" style="38" customWidth="1"/>
    <col min="13571" max="13576" width="12.83203125" style="38" customWidth="1"/>
    <col min="13577" max="13577" width="13.83203125" style="38" customWidth="1"/>
    <col min="13578" max="13824" width="9.33203125" style="38"/>
    <col min="13825" max="13825" width="6.83203125" style="38" customWidth="1"/>
    <col min="13826" max="13826" width="49.6640625" style="38" customWidth="1"/>
    <col min="13827" max="13832" width="12.83203125" style="38" customWidth="1"/>
    <col min="13833" max="13833" width="13.83203125" style="38" customWidth="1"/>
    <col min="13834" max="14080" width="9.33203125" style="38"/>
    <col min="14081" max="14081" width="6.83203125" style="38" customWidth="1"/>
    <col min="14082" max="14082" width="49.6640625" style="38" customWidth="1"/>
    <col min="14083" max="14088" width="12.83203125" style="38" customWidth="1"/>
    <col min="14089" max="14089" width="13.83203125" style="38" customWidth="1"/>
    <col min="14090" max="14336" width="9.33203125" style="38"/>
    <col min="14337" max="14337" width="6.83203125" style="38" customWidth="1"/>
    <col min="14338" max="14338" width="49.6640625" style="38" customWidth="1"/>
    <col min="14339" max="14344" width="12.83203125" style="38" customWidth="1"/>
    <col min="14345" max="14345" width="13.83203125" style="38" customWidth="1"/>
    <col min="14346" max="14592" width="9.33203125" style="38"/>
    <col min="14593" max="14593" width="6.83203125" style="38" customWidth="1"/>
    <col min="14594" max="14594" width="49.6640625" style="38" customWidth="1"/>
    <col min="14595" max="14600" width="12.83203125" style="38" customWidth="1"/>
    <col min="14601" max="14601" width="13.83203125" style="38" customWidth="1"/>
    <col min="14602" max="14848" width="9.33203125" style="38"/>
    <col min="14849" max="14849" width="6.83203125" style="38" customWidth="1"/>
    <col min="14850" max="14850" width="49.6640625" style="38" customWidth="1"/>
    <col min="14851" max="14856" width="12.83203125" style="38" customWidth="1"/>
    <col min="14857" max="14857" width="13.83203125" style="38" customWidth="1"/>
    <col min="14858" max="15104" width="9.33203125" style="38"/>
    <col min="15105" max="15105" width="6.83203125" style="38" customWidth="1"/>
    <col min="15106" max="15106" width="49.6640625" style="38" customWidth="1"/>
    <col min="15107" max="15112" width="12.83203125" style="38" customWidth="1"/>
    <col min="15113" max="15113" width="13.83203125" style="38" customWidth="1"/>
    <col min="15114" max="15360" width="9.33203125" style="38"/>
    <col min="15361" max="15361" width="6.83203125" style="38" customWidth="1"/>
    <col min="15362" max="15362" width="49.6640625" style="38" customWidth="1"/>
    <col min="15363" max="15368" width="12.83203125" style="38" customWidth="1"/>
    <col min="15369" max="15369" width="13.83203125" style="38" customWidth="1"/>
    <col min="15370" max="15616" width="9.33203125" style="38"/>
    <col min="15617" max="15617" width="6.83203125" style="38" customWidth="1"/>
    <col min="15618" max="15618" width="49.6640625" style="38" customWidth="1"/>
    <col min="15619" max="15624" width="12.83203125" style="38" customWidth="1"/>
    <col min="15625" max="15625" width="13.83203125" style="38" customWidth="1"/>
    <col min="15626" max="15872" width="9.33203125" style="38"/>
    <col min="15873" max="15873" width="6.83203125" style="38" customWidth="1"/>
    <col min="15874" max="15874" width="49.6640625" style="38" customWidth="1"/>
    <col min="15875" max="15880" width="12.83203125" style="38" customWidth="1"/>
    <col min="15881" max="15881" width="13.83203125" style="38" customWidth="1"/>
    <col min="15882" max="16128" width="9.33203125" style="38"/>
    <col min="16129" max="16129" width="6.83203125" style="38" customWidth="1"/>
    <col min="16130" max="16130" width="49.6640625" style="38" customWidth="1"/>
    <col min="16131" max="16136" width="12.83203125" style="38" customWidth="1"/>
    <col min="16137" max="16137" width="13.83203125" style="38" customWidth="1"/>
    <col min="16138" max="16384" width="9.33203125" style="38"/>
  </cols>
  <sheetData>
    <row r="1" spans="1:9" ht="27.75" customHeight="1" x14ac:dyDescent="0.2">
      <c r="A1" s="1193" t="s">
        <v>17</v>
      </c>
      <c r="B1" s="1193"/>
      <c r="C1" s="1193"/>
      <c r="D1" s="1193"/>
      <c r="E1" s="1193"/>
      <c r="F1" s="1193"/>
      <c r="G1" s="1193"/>
      <c r="H1" s="1193"/>
      <c r="I1" s="1193"/>
    </row>
    <row r="2" spans="1:9" ht="20.25" customHeight="1" thickBot="1" x14ac:dyDescent="0.3">
      <c r="B2" s="364"/>
      <c r="I2" s="365" t="s">
        <v>706</v>
      </c>
    </row>
    <row r="3" spans="1:9" s="366" customFormat="1" ht="22.5" customHeight="1" x14ac:dyDescent="0.2">
      <c r="A3" s="1233" t="s">
        <v>84</v>
      </c>
      <c r="B3" s="1235" t="s">
        <v>100</v>
      </c>
      <c r="C3" s="1233" t="s">
        <v>101</v>
      </c>
      <c r="D3" s="1233" t="s">
        <v>743</v>
      </c>
      <c r="E3" s="1237" t="s">
        <v>83</v>
      </c>
      <c r="F3" s="1238"/>
      <c r="G3" s="1238"/>
      <c r="H3" s="1239"/>
      <c r="I3" s="1235" t="s">
        <v>64</v>
      </c>
    </row>
    <row r="4" spans="1:9" s="367" customFormat="1" ht="17.25" customHeight="1" thickBot="1" x14ac:dyDescent="0.25">
      <c r="A4" s="1234"/>
      <c r="B4" s="1236"/>
      <c r="C4" s="1236"/>
      <c r="D4" s="1234"/>
      <c r="E4" s="219">
        <v>2018</v>
      </c>
      <c r="F4" s="219">
        <v>2019</v>
      </c>
      <c r="G4" s="219">
        <v>2020</v>
      </c>
      <c r="H4" s="220" t="s">
        <v>744</v>
      </c>
      <c r="I4" s="1236"/>
    </row>
    <row r="5" spans="1:9" s="368" customFormat="1" ht="18" customHeight="1" thickBot="1" x14ac:dyDescent="0.25">
      <c r="A5" s="503">
        <v>1</v>
      </c>
      <c r="B5" s="501">
        <v>2</v>
      </c>
      <c r="C5" s="502">
        <v>3</v>
      </c>
      <c r="D5" s="501">
        <v>4</v>
      </c>
      <c r="E5" s="503">
        <v>5</v>
      </c>
      <c r="F5" s="502">
        <v>6</v>
      </c>
      <c r="G5" s="502">
        <v>7</v>
      </c>
      <c r="H5" s="504">
        <v>8</v>
      </c>
      <c r="I5" s="222" t="s">
        <v>102</v>
      </c>
    </row>
    <row r="6" spans="1:9" ht="24.75" customHeight="1" x14ac:dyDescent="0.2">
      <c r="A6" s="517" t="s">
        <v>32</v>
      </c>
      <c r="B6" s="893" t="s">
        <v>18</v>
      </c>
      <c r="C6" s="518"/>
      <c r="D6" s="510"/>
      <c r="E6" s="510"/>
      <c r="F6" s="510"/>
      <c r="G6" s="510"/>
      <c r="H6" s="510"/>
      <c r="I6" s="519">
        <f t="shared" ref="I6:I14" si="0">SUM(D6:H6)</f>
        <v>0</v>
      </c>
    </row>
    <row r="7" spans="1:9" ht="24.75" customHeight="1" thickBot="1" x14ac:dyDescent="0.25">
      <c r="A7" s="520" t="s">
        <v>33</v>
      </c>
      <c r="B7" s="894" t="s">
        <v>635</v>
      </c>
      <c r="C7" s="521">
        <v>2018</v>
      </c>
      <c r="D7" s="514">
        <v>0</v>
      </c>
      <c r="E7" s="514">
        <v>0</v>
      </c>
      <c r="F7" s="514">
        <v>0</v>
      </c>
      <c r="G7" s="514">
        <v>0</v>
      </c>
      <c r="H7" s="514">
        <v>0</v>
      </c>
      <c r="I7" s="515">
        <f t="shared" si="0"/>
        <v>0</v>
      </c>
    </row>
    <row r="8" spans="1:9" ht="24" customHeight="1" thickBot="1" x14ac:dyDescent="0.25">
      <c r="A8" s="500" t="s">
        <v>34</v>
      </c>
      <c r="B8" s="895" t="s">
        <v>19</v>
      </c>
      <c r="C8" s="498"/>
      <c r="D8" s="516"/>
      <c r="E8" s="516"/>
      <c r="F8" s="516"/>
      <c r="G8" s="516"/>
      <c r="H8" s="516"/>
      <c r="I8" s="505">
        <f>SUM(I9:I22)</f>
        <v>140628782</v>
      </c>
    </row>
    <row r="9" spans="1:9" ht="23.25" customHeight="1" x14ac:dyDescent="0.2">
      <c r="A9" s="517" t="s">
        <v>35</v>
      </c>
      <c r="B9" s="896" t="s">
        <v>636</v>
      </c>
      <c r="C9" s="509">
        <v>2013</v>
      </c>
      <c r="D9" s="510">
        <v>2310000</v>
      </c>
      <c r="E9" s="897">
        <v>570704</v>
      </c>
      <c r="F9" s="897">
        <v>0</v>
      </c>
      <c r="G9" s="897">
        <v>0</v>
      </c>
      <c r="H9" s="511">
        <v>0</v>
      </c>
      <c r="I9" s="512">
        <f t="shared" si="0"/>
        <v>2880704</v>
      </c>
    </row>
    <row r="10" spans="1:9" ht="32.25" customHeight="1" x14ac:dyDescent="0.2">
      <c r="A10" s="590" t="s">
        <v>36</v>
      </c>
      <c r="B10" s="507" t="s">
        <v>707</v>
      </c>
      <c r="C10" s="369">
        <v>2016</v>
      </c>
      <c r="D10" s="405">
        <v>0</v>
      </c>
      <c r="E10" s="898">
        <v>4444000</v>
      </c>
      <c r="F10" s="898">
        <v>4444000</v>
      </c>
      <c r="G10" s="506">
        <v>1806590</v>
      </c>
      <c r="H10" s="506">
        <v>0</v>
      </c>
      <c r="I10" s="513">
        <f t="shared" si="0"/>
        <v>10694590</v>
      </c>
    </row>
    <row r="11" spans="1:9" ht="33" customHeight="1" x14ac:dyDescent="0.2">
      <c r="A11" s="590" t="s">
        <v>37</v>
      </c>
      <c r="B11" s="507" t="s">
        <v>708</v>
      </c>
      <c r="C11" s="369">
        <v>2016</v>
      </c>
      <c r="D11" s="405">
        <v>0</v>
      </c>
      <c r="E11" s="898">
        <v>1472000</v>
      </c>
      <c r="F11" s="898">
        <v>1472000</v>
      </c>
      <c r="G11" s="898">
        <v>1472000</v>
      </c>
      <c r="H11" s="506">
        <v>5887000</v>
      </c>
      <c r="I11" s="513">
        <f t="shared" si="0"/>
        <v>10303000</v>
      </c>
    </row>
    <row r="12" spans="1:9" ht="35.25" customHeight="1" x14ac:dyDescent="0.2">
      <c r="A12" s="590" t="s">
        <v>38</v>
      </c>
      <c r="B12" s="507" t="s">
        <v>709</v>
      </c>
      <c r="C12" s="369">
        <v>2016</v>
      </c>
      <c r="D12" s="405">
        <v>1330500</v>
      </c>
      <c r="E12" s="405">
        <v>887000</v>
      </c>
      <c r="F12" s="405">
        <v>887000</v>
      </c>
      <c r="G12" s="405">
        <v>887000</v>
      </c>
      <c r="H12" s="405">
        <v>443461</v>
      </c>
      <c r="I12" s="513">
        <f t="shared" si="0"/>
        <v>4434961</v>
      </c>
    </row>
    <row r="13" spans="1:9" ht="30" customHeight="1" x14ac:dyDescent="0.2">
      <c r="A13" s="590" t="s">
        <v>39</v>
      </c>
      <c r="B13" s="507" t="s">
        <v>710</v>
      </c>
      <c r="C13" s="369">
        <v>2016</v>
      </c>
      <c r="D13" s="405">
        <v>1669500</v>
      </c>
      <c r="E13" s="405">
        <v>1113000</v>
      </c>
      <c r="F13" s="405">
        <v>1113000</v>
      </c>
      <c r="G13" s="405">
        <v>1113000</v>
      </c>
      <c r="H13" s="405">
        <v>556539</v>
      </c>
      <c r="I13" s="513">
        <f t="shared" si="0"/>
        <v>5565039</v>
      </c>
    </row>
    <row r="14" spans="1:9" ht="30" customHeight="1" x14ac:dyDescent="0.2">
      <c r="A14" s="590" t="s">
        <v>40</v>
      </c>
      <c r="B14" s="507" t="s">
        <v>883</v>
      </c>
      <c r="C14" s="369">
        <v>2017</v>
      </c>
      <c r="D14" s="405">
        <v>0</v>
      </c>
      <c r="E14" s="405">
        <v>0</v>
      </c>
      <c r="F14" s="405">
        <v>4940000</v>
      </c>
      <c r="G14" s="405">
        <v>4940000</v>
      </c>
      <c r="H14" s="405">
        <v>32120000</v>
      </c>
      <c r="I14" s="513">
        <f t="shared" si="0"/>
        <v>42000000</v>
      </c>
    </row>
    <row r="15" spans="1:9" ht="30" customHeight="1" x14ac:dyDescent="0.2">
      <c r="A15" s="1060" t="s">
        <v>41</v>
      </c>
      <c r="B15" s="507" t="s">
        <v>731</v>
      </c>
      <c r="C15" s="369">
        <v>2017</v>
      </c>
      <c r="D15" s="405">
        <v>0</v>
      </c>
      <c r="E15" s="405">
        <v>0</v>
      </c>
      <c r="F15" s="405">
        <v>1464000</v>
      </c>
      <c r="G15" s="405">
        <v>1464000</v>
      </c>
      <c r="H15" s="405">
        <v>2572000</v>
      </c>
      <c r="I15" s="513">
        <f t="shared" ref="I15:I22" si="1">SUM(D15:H15)</f>
        <v>5500000</v>
      </c>
    </row>
    <row r="16" spans="1:9" ht="30" customHeight="1" x14ac:dyDescent="0.2">
      <c r="A16" s="1060" t="s">
        <v>42</v>
      </c>
      <c r="B16" s="507" t="s">
        <v>884</v>
      </c>
      <c r="C16" s="369">
        <v>2018</v>
      </c>
      <c r="D16" s="1061">
        <v>0</v>
      </c>
      <c r="E16" s="898">
        <v>0</v>
      </c>
      <c r="F16" s="898">
        <v>533576</v>
      </c>
      <c r="G16" s="898">
        <v>1067152</v>
      </c>
      <c r="H16" s="405">
        <v>1600724</v>
      </c>
      <c r="I16" s="513">
        <f t="shared" si="1"/>
        <v>3201452</v>
      </c>
    </row>
    <row r="17" spans="1:10" ht="30" customHeight="1" x14ac:dyDescent="0.2">
      <c r="A17" s="1060" t="s">
        <v>43</v>
      </c>
      <c r="B17" s="507" t="s">
        <v>885</v>
      </c>
      <c r="C17" s="369">
        <v>2018</v>
      </c>
      <c r="D17" s="1061">
        <v>0</v>
      </c>
      <c r="E17" s="898">
        <v>0</v>
      </c>
      <c r="F17" s="898">
        <v>363696</v>
      </c>
      <c r="G17" s="898">
        <v>1454784</v>
      </c>
      <c r="H17" s="405">
        <v>4000660</v>
      </c>
      <c r="I17" s="513">
        <f t="shared" si="1"/>
        <v>5819140</v>
      </c>
    </row>
    <row r="18" spans="1:10" ht="30" customHeight="1" x14ac:dyDescent="0.2">
      <c r="A18" s="1060" t="s">
        <v>44</v>
      </c>
      <c r="B18" s="507" t="s">
        <v>889</v>
      </c>
      <c r="C18" s="369">
        <v>2018</v>
      </c>
      <c r="D18" s="1061">
        <v>0</v>
      </c>
      <c r="E18" s="898">
        <v>0</v>
      </c>
      <c r="F18" s="898">
        <v>620958</v>
      </c>
      <c r="G18" s="898">
        <v>1241916</v>
      </c>
      <c r="H18" s="405">
        <v>1862876</v>
      </c>
      <c r="I18" s="513">
        <f t="shared" si="1"/>
        <v>3725750</v>
      </c>
    </row>
    <row r="19" spans="1:10" ht="26.25" customHeight="1" x14ac:dyDescent="0.2">
      <c r="A19" s="1060" t="s">
        <v>45</v>
      </c>
      <c r="B19" s="507" t="s">
        <v>871</v>
      </c>
      <c r="C19" s="369">
        <v>2018</v>
      </c>
      <c r="D19" s="1061">
        <v>0</v>
      </c>
      <c r="E19" s="898">
        <v>0</v>
      </c>
      <c r="F19" s="898">
        <v>317500</v>
      </c>
      <c r="G19" s="898">
        <v>1270000</v>
      </c>
      <c r="H19" s="405">
        <v>3492500</v>
      </c>
      <c r="I19" s="513">
        <f t="shared" si="1"/>
        <v>5080000</v>
      </c>
    </row>
    <row r="20" spans="1:10" ht="30" customHeight="1" x14ac:dyDescent="0.2">
      <c r="A20" s="1060" t="s">
        <v>46</v>
      </c>
      <c r="B20" s="883" t="s">
        <v>886</v>
      </c>
      <c r="C20" s="369">
        <v>2018</v>
      </c>
      <c r="D20" s="1061">
        <v>0</v>
      </c>
      <c r="E20" s="898">
        <v>0</v>
      </c>
      <c r="F20" s="898">
        <v>833334</v>
      </c>
      <c r="G20" s="898">
        <v>1666667</v>
      </c>
      <c r="H20" s="405">
        <v>7499999</v>
      </c>
      <c r="I20" s="513">
        <f t="shared" si="1"/>
        <v>10000000</v>
      </c>
    </row>
    <row r="21" spans="1:10" ht="30" customHeight="1" x14ac:dyDescent="0.2">
      <c r="A21" s="1060" t="s">
        <v>47</v>
      </c>
      <c r="B21" s="507" t="s">
        <v>887</v>
      </c>
      <c r="C21" s="369">
        <v>2018</v>
      </c>
      <c r="D21" s="405">
        <v>0</v>
      </c>
      <c r="E21" s="405">
        <v>0</v>
      </c>
      <c r="F21" s="405">
        <v>0</v>
      </c>
      <c r="G21" s="898">
        <v>1844390</v>
      </c>
      <c r="H21" s="405">
        <v>7377559</v>
      </c>
      <c r="I21" s="513">
        <f t="shared" si="1"/>
        <v>9221949</v>
      </c>
    </row>
    <row r="22" spans="1:10" ht="30" customHeight="1" x14ac:dyDescent="0.2">
      <c r="A22" s="1060" t="s">
        <v>48</v>
      </c>
      <c r="B22" s="507" t="s">
        <v>888</v>
      </c>
      <c r="C22" s="369">
        <v>2018</v>
      </c>
      <c r="D22" s="405">
        <v>0</v>
      </c>
      <c r="E22" s="405">
        <v>0</v>
      </c>
      <c r="F22" s="405">
        <v>0</v>
      </c>
      <c r="G22" s="898">
        <v>3171742</v>
      </c>
      <c r="H22" s="405">
        <v>19030455</v>
      </c>
      <c r="I22" s="513">
        <f t="shared" si="1"/>
        <v>22202197</v>
      </c>
    </row>
    <row r="23" spans="1:10" ht="20.100000000000001" customHeight="1" thickBot="1" x14ac:dyDescent="0.25">
      <c r="A23" s="589"/>
      <c r="B23" s="1062"/>
      <c r="C23" s="900"/>
      <c r="D23" s="508"/>
      <c r="E23" s="508"/>
      <c r="F23" s="508"/>
      <c r="G23" s="508"/>
      <c r="H23" s="508"/>
      <c r="I23" s="1063"/>
    </row>
    <row r="24" spans="1:10" ht="20.100000000000001" customHeight="1" x14ac:dyDescent="0.2">
      <c r="A24" s="517"/>
      <c r="B24" s="899" t="s">
        <v>213</v>
      </c>
      <c r="C24" s="900"/>
      <c r="D24" s="508"/>
      <c r="E24" s="508"/>
      <c r="F24" s="508"/>
      <c r="G24" s="508"/>
      <c r="H24" s="508"/>
      <c r="I24" s="512"/>
      <c r="J24" s="370"/>
    </row>
    <row r="25" spans="1:10" ht="20.100000000000001" customHeight="1" x14ac:dyDescent="0.2">
      <c r="A25" s="589"/>
      <c r="B25" s="901"/>
      <c r="C25" s="902"/>
      <c r="D25" s="405"/>
      <c r="E25" s="405"/>
      <c r="F25" s="405"/>
      <c r="G25" s="405"/>
      <c r="H25" s="405"/>
      <c r="I25" s="513"/>
      <c r="J25" s="370"/>
    </row>
    <row r="26" spans="1:10" ht="20.100000000000001" customHeight="1" thickBot="1" x14ac:dyDescent="0.25">
      <c r="A26" s="500"/>
      <c r="B26" s="903"/>
      <c r="C26" s="904"/>
      <c r="D26" s="514"/>
      <c r="E26" s="514"/>
      <c r="F26" s="514"/>
      <c r="G26" s="514"/>
      <c r="H26" s="514"/>
      <c r="I26" s="515"/>
    </row>
    <row r="27" spans="1:10" ht="20.100000000000001" customHeight="1" thickBot="1" x14ac:dyDescent="0.25">
      <c r="A27" s="1231" t="s">
        <v>66</v>
      </c>
      <c r="B27" s="1232"/>
      <c r="C27" s="905"/>
      <c r="D27" s="906">
        <f>SUM(D6:D26)</f>
        <v>5310000</v>
      </c>
      <c r="E27" s="906">
        <f>SUM(E6:E26)</f>
        <v>8486704</v>
      </c>
      <c r="F27" s="907">
        <f>SUM(F6:F26)</f>
        <v>16989064</v>
      </c>
      <c r="G27" s="907">
        <f>SUM(G6:G26)</f>
        <v>23399241</v>
      </c>
      <c r="H27" s="505">
        <f>SUM(H6:H26)</f>
        <v>86443773</v>
      </c>
      <c r="I27" s="908">
        <f>I23+I24+I8+I6</f>
        <v>140628782</v>
      </c>
    </row>
    <row r="29" spans="1:10" ht="15" x14ac:dyDescent="0.25">
      <c r="B29" s="110" t="s">
        <v>637</v>
      </c>
      <c r="C29" s="110"/>
      <c r="D29" s="110"/>
      <c r="E29" s="110"/>
      <c r="F29" s="110"/>
      <c r="G29" s="110"/>
      <c r="H29" s="110"/>
    </row>
    <row r="31" spans="1:10" ht="15.75" x14ac:dyDescent="0.2">
      <c r="B31" s="1064"/>
    </row>
    <row r="32" spans="1:10" ht="15.75" x14ac:dyDescent="0.2">
      <c r="B32" s="371"/>
      <c r="C32" s="372"/>
      <c r="D32" s="372"/>
      <c r="E32" s="372"/>
      <c r="F32" s="372"/>
      <c r="G32" s="372"/>
      <c r="H32" s="372"/>
    </row>
    <row r="33" spans="2:4" x14ac:dyDescent="0.2">
      <c r="B33" s="372"/>
      <c r="C33" s="39"/>
    </row>
    <row r="34" spans="2:4" x14ac:dyDescent="0.2">
      <c r="B34" s="372"/>
      <c r="C34" s="39"/>
    </row>
    <row r="35" spans="2:4" x14ac:dyDescent="0.2">
      <c r="B35" s="372"/>
      <c r="C35" s="373"/>
    </row>
    <row r="36" spans="2:4" x14ac:dyDescent="0.2">
      <c r="B36" s="372"/>
      <c r="C36" s="39"/>
    </row>
    <row r="37" spans="2:4" x14ac:dyDescent="0.2">
      <c r="B37" s="372"/>
      <c r="C37" s="39"/>
    </row>
    <row r="38" spans="2:4" x14ac:dyDescent="0.2">
      <c r="B38" s="372"/>
      <c r="C38" s="39"/>
    </row>
    <row r="39" spans="2:4" x14ac:dyDescent="0.2">
      <c r="B39" s="372"/>
      <c r="C39" s="39"/>
    </row>
    <row r="40" spans="2:4" x14ac:dyDescent="0.2">
      <c r="B40" s="372"/>
      <c r="C40" s="39"/>
    </row>
    <row r="41" spans="2:4" x14ac:dyDescent="0.2">
      <c r="B41" s="372"/>
      <c r="C41" s="39"/>
    </row>
    <row r="42" spans="2:4" ht="17.25" customHeight="1" x14ac:dyDescent="0.2">
      <c r="B42" s="374"/>
      <c r="C42" s="373"/>
    </row>
    <row r="43" spans="2:4" x14ac:dyDescent="0.2">
      <c r="B43" s="372"/>
    </row>
    <row r="44" spans="2:4" x14ac:dyDescent="0.2">
      <c r="B44" s="375"/>
      <c r="C44" s="373"/>
    </row>
    <row r="45" spans="2:4" x14ac:dyDescent="0.2">
      <c r="C45" s="39"/>
      <c r="D45" s="39"/>
    </row>
    <row r="46" spans="2:4" x14ac:dyDescent="0.2">
      <c r="C46" s="39"/>
      <c r="D46" s="39"/>
    </row>
    <row r="47" spans="2:4" x14ac:dyDescent="0.2">
      <c r="C47" s="39"/>
      <c r="D47" s="39"/>
    </row>
    <row r="49" spans="2:4" x14ac:dyDescent="0.2">
      <c r="B49" s="375"/>
      <c r="C49" s="373"/>
    </row>
    <row r="50" spans="2:4" x14ac:dyDescent="0.2">
      <c r="D50" s="39"/>
    </row>
    <row r="51" spans="2:4" x14ac:dyDescent="0.2">
      <c r="D51" s="39"/>
    </row>
    <row r="52" spans="2:4" x14ac:dyDescent="0.2">
      <c r="D52" s="39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03" bottom="0.98425196850393704" header="0.78740157480314965" footer="0.78740157480314965"/>
  <pageSetup paperSize="9" scale="62" orientation="landscape" verticalDpi="300" r:id="rId1"/>
  <headerFooter alignWithMargins="0">
    <oddHeader>&amp;R2.sz. tájékoztató tábla a ../......(......) önkormányzati rendelethez
TÁJÉKOZTATÓ TÁBLA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>
    <tabColor rgb="FF92D050"/>
  </sheetPr>
  <dimension ref="A1:D31"/>
  <sheetViews>
    <sheetView view="pageLayout" zoomScaleNormal="100" workbookViewId="0">
      <selection activeCell="D12" sqref="D12"/>
    </sheetView>
  </sheetViews>
  <sheetFormatPr defaultRowHeight="12.75" x14ac:dyDescent="0.2"/>
  <cols>
    <col min="1" max="1" width="5.83203125" style="66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241" t="s">
        <v>545</v>
      </c>
      <c r="C1" s="1241"/>
      <c r="D1" s="1241"/>
    </row>
    <row r="2" spans="1:4" s="54" customFormat="1" ht="16.5" thickBot="1" x14ac:dyDescent="0.3">
      <c r="A2" s="53"/>
      <c r="B2" s="299"/>
      <c r="D2" s="40" t="s">
        <v>693</v>
      </c>
    </row>
    <row r="3" spans="1:4" s="56" customFormat="1" ht="48" customHeight="1" thickBot="1" x14ac:dyDescent="0.25">
      <c r="A3" s="55" t="s">
        <v>29</v>
      </c>
      <c r="B3" s="143" t="s">
        <v>30</v>
      </c>
      <c r="C3" s="143" t="s">
        <v>85</v>
      </c>
      <c r="D3" s="144" t="s">
        <v>86</v>
      </c>
    </row>
    <row r="4" spans="1:4" s="56" customFormat="1" ht="14.1" customHeight="1" thickBot="1" x14ac:dyDescent="0.25">
      <c r="A4" s="34">
        <v>1</v>
      </c>
      <c r="B4" s="146">
        <v>2</v>
      </c>
      <c r="C4" s="146">
        <v>3</v>
      </c>
      <c r="D4" s="147">
        <v>4</v>
      </c>
    </row>
    <row r="5" spans="1:4" ht="18" customHeight="1" x14ac:dyDescent="0.2">
      <c r="A5" s="102" t="s">
        <v>31</v>
      </c>
      <c r="B5" s="541" t="s">
        <v>174</v>
      </c>
      <c r="C5" s="542"/>
      <c r="D5" s="543"/>
    </row>
    <row r="6" spans="1:4" ht="18" customHeight="1" x14ac:dyDescent="0.2">
      <c r="A6" s="58" t="s">
        <v>32</v>
      </c>
      <c r="B6" s="148" t="s">
        <v>175</v>
      </c>
      <c r="C6" s="101"/>
      <c r="D6" s="60"/>
    </row>
    <row r="7" spans="1:4" ht="18" customHeight="1" x14ac:dyDescent="0.2">
      <c r="A7" s="58" t="s">
        <v>33</v>
      </c>
      <c r="B7" s="148" t="s">
        <v>136</v>
      </c>
      <c r="C7" s="101"/>
      <c r="D7" s="60"/>
    </row>
    <row r="8" spans="1:4" ht="18" customHeight="1" x14ac:dyDescent="0.2">
      <c r="A8" s="58" t="s">
        <v>34</v>
      </c>
      <c r="B8" s="148" t="s">
        <v>137</v>
      </c>
      <c r="C8" s="101"/>
      <c r="D8" s="60"/>
    </row>
    <row r="9" spans="1:4" ht="18" customHeight="1" x14ac:dyDescent="0.2">
      <c r="A9" s="58" t="s">
        <v>35</v>
      </c>
      <c r="B9" s="148" t="s">
        <v>167</v>
      </c>
      <c r="C9" s="539">
        <f>SUM(C10:C15)</f>
        <v>7500000</v>
      </c>
      <c r="D9" s="544">
        <f>SUM(D10:D15)</f>
        <v>0</v>
      </c>
    </row>
    <row r="10" spans="1:4" ht="18" customHeight="1" x14ac:dyDescent="0.2">
      <c r="A10" s="58" t="s">
        <v>36</v>
      </c>
      <c r="B10" s="148" t="s">
        <v>168</v>
      </c>
      <c r="C10" s="101"/>
      <c r="D10" s="60"/>
    </row>
    <row r="11" spans="1:4" ht="18" customHeight="1" x14ac:dyDescent="0.2">
      <c r="A11" s="58" t="s">
        <v>37</v>
      </c>
      <c r="B11" s="149" t="s">
        <v>169</v>
      </c>
      <c r="C11" s="101"/>
      <c r="D11" s="60"/>
    </row>
    <row r="12" spans="1:4" ht="18" customHeight="1" x14ac:dyDescent="0.2">
      <c r="A12" s="58" t="s">
        <v>39</v>
      </c>
      <c r="B12" s="149" t="s">
        <v>170</v>
      </c>
      <c r="C12" s="101">
        <v>7500000</v>
      </c>
      <c r="D12" s="1049" t="s">
        <v>856</v>
      </c>
    </row>
    <row r="13" spans="1:4" ht="18" customHeight="1" x14ac:dyDescent="0.2">
      <c r="A13" s="58" t="s">
        <v>40</v>
      </c>
      <c r="B13" s="149" t="s">
        <v>171</v>
      </c>
      <c r="C13" s="101"/>
      <c r="D13" s="60"/>
    </row>
    <row r="14" spans="1:4" ht="18" customHeight="1" x14ac:dyDescent="0.2">
      <c r="A14" s="58" t="s">
        <v>41</v>
      </c>
      <c r="B14" s="149" t="s">
        <v>172</v>
      </c>
      <c r="C14" s="101"/>
      <c r="D14" s="60"/>
    </row>
    <row r="15" spans="1:4" ht="22.5" customHeight="1" x14ac:dyDescent="0.2">
      <c r="A15" s="58" t="s">
        <v>42</v>
      </c>
      <c r="B15" s="149" t="s">
        <v>173</v>
      </c>
      <c r="C15" s="101"/>
      <c r="D15" s="60"/>
    </row>
    <row r="16" spans="1:4" ht="18" customHeight="1" x14ac:dyDescent="0.2">
      <c r="A16" s="58" t="s">
        <v>43</v>
      </c>
      <c r="B16" s="148" t="s">
        <v>138</v>
      </c>
      <c r="C16" s="101"/>
      <c r="D16" s="60"/>
    </row>
    <row r="17" spans="1:4" ht="18" customHeight="1" x14ac:dyDescent="0.2">
      <c r="A17" s="58" t="s">
        <v>44</v>
      </c>
      <c r="B17" s="148" t="s">
        <v>21</v>
      </c>
      <c r="C17" s="101"/>
      <c r="D17" s="60"/>
    </row>
    <row r="18" spans="1:4" ht="18" customHeight="1" x14ac:dyDescent="0.2">
      <c r="A18" s="58" t="s">
        <v>45</v>
      </c>
      <c r="B18" s="148" t="s">
        <v>20</v>
      </c>
      <c r="C18" s="101"/>
      <c r="D18" s="60"/>
    </row>
    <row r="19" spans="1:4" ht="18" customHeight="1" x14ac:dyDescent="0.2">
      <c r="A19" s="58" t="s">
        <v>46</v>
      </c>
      <c r="B19" s="148" t="s">
        <v>139</v>
      </c>
      <c r="C19" s="101"/>
      <c r="D19" s="60"/>
    </row>
    <row r="20" spans="1:4" ht="18" customHeight="1" x14ac:dyDescent="0.2">
      <c r="A20" s="58" t="s">
        <v>47</v>
      </c>
      <c r="B20" s="148" t="s">
        <v>140</v>
      </c>
      <c r="C20" s="101"/>
      <c r="D20" s="60"/>
    </row>
    <row r="21" spans="1:4" ht="18" customHeight="1" x14ac:dyDescent="0.2">
      <c r="A21" s="58" t="s">
        <v>48</v>
      </c>
      <c r="B21" s="97"/>
      <c r="C21" s="59"/>
      <c r="D21" s="60"/>
    </row>
    <row r="22" spans="1:4" ht="18" customHeight="1" x14ac:dyDescent="0.2">
      <c r="A22" s="58" t="s">
        <v>49</v>
      </c>
      <c r="B22" s="61"/>
      <c r="C22" s="59"/>
      <c r="D22" s="60"/>
    </row>
    <row r="23" spans="1:4" ht="18" customHeight="1" x14ac:dyDescent="0.2">
      <c r="A23" s="58" t="s">
        <v>50</v>
      </c>
      <c r="B23" s="61"/>
      <c r="C23" s="59"/>
      <c r="D23" s="60"/>
    </row>
    <row r="24" spans="1:4" ht="18" customHeight="1" x14ac:dyDescent="0.2">
      <c r="A24" s="58" t="s">
        <v>51</v>
      </c>
      <c r="B24" s="61"/>
      <c r="C24" s="59"/>
      <c r="D24" s="60"/>
    </row>
    <row r="25" spans="1:4" ht="18" customHeight="1" x14ac:dyDescent="0.2">
      <c r="A25" s="58" t="s">
        <v>52</v>
      </c>
      <c r="B25" s="61"/>
      <c r="C25" s="59"/>
      <c r="D25" s="60"/>
    </row>
    <row r="26" spans="1:4" ht="18" customHeight="1" x14ac:dyDescent="0.2">
      <c r="A26" s="58" t="s">
        <v>53</v>
      </c>
      <c r="B26" s="61"/>
      <c r="C26" s="59"/>
      <c r="D26" s="60"/>
    </row>
    <row r="27" spans="1:4" ht="18" customHeight="1" x14ac:dyDescent="0.2">
      <c r="A27" s="58" t="s">
        <v>54</v>
      </c>
      <c r="B27" s="61"/>
      <c r="C27" s="59"/>
      <c r="D27" s="60"/>
    </row>
    <row r="28" spans="1:4" ht="18" customHeight="1" x14ac:dyDescent="0.2">
      <c r="A28" s="58" t="s">
        <v>55</v>
      </c>
      <c r="B28" s="61"/>
      <c r="C28" s="59"/>
      <c r="D28" s="60"/>
    </row>
    <row r="29" spans="1:4" ht="18" customHeight="1" thickBot="1" x14ac:dyDescent="0.25">
      <c r="A29" s="103" t="s">
        <v>56</v>
      </c>
      <c r="B29" s="62"/>
      <c r="C29" s="63"/>
      <c r="D29" s="64"/>
    </row>
    <row r="30" spans="1:4" ht="18" customHeight="1" thickBot="1" x14ac:dyDescent="0.25">
      <c r="A30" s="35" t="s">
        <v>57</v>
      </c>
      <c r="B30" s="153" t="s">
        <v>66</v>
      </c>
      <c r="C30" s="154">
        <f>+C5+C6+C7+C8+C9+C16+C17+C18+C19+C20+C21+C22+C23+C24+C25+C26+C27+C28+C29</f>
        <v>7500000</v>
      </c>
      <c r="D30" s="155">
        <f>+D5+D6+D7+D8+D9+D16+D17+D18+D19+D20+D21+D22+D23+D24+D25+D26+D27+D28+D29</f>
        <v>0</v>
      </c>
    </row>
    <row r="31" spans="1:4" ht="8.25" customHeight="1" x14ac:dyDescent="0.2">
      <c r="A31" s="65"/>
      <c r="B31" s="1240"/>
      <c r="C31" s="1240"/>
      <c r="D31" s="1240"/>
    </row>
  </sheetData>
  <mergeCells count="2">
    <mergeCell ref="B31:D31"/>
    <mergeCell ref="B1:D1"/>
  </mergeCells>
  <phoneticPr fontId="29" type="noConversion"/>
  <printOptions horizontalCentered="1"/>
  <pageMargins left="0.78740157480314965" right="0.78740157480314965" top="1.06" bottom="0.98425196850393704" header="0.78740157480314965" footer="0.78740157480314965"/>
  <pageSetup paperSize="9" scale="95" orientation="portrait" horizontalDpi="300" verticalDpi="300" r:id="rId1"/>
  <headerFooter alignWithMargins="0">
    <oddHeader xml:space="preserve">&amp;R&amp;"Times New Roman CE,Dőlt"&amp;11 3. számú tájékoztató tábla a ../......(.......) önkormányzati rendelethez 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view="pageLayout" topLeftCell="A10" zoomScale="85" zoomScaleNormal="100" zoomScalePageLayoutView="85" workbookViewId="0">
      <selection activeCell="C28" sqref="C28"/>
    </sheetView>
  </sheetViews>
  <sheetFormatPr defaultRowHeight="15.75" x14ac:dyDescent="0.25"/>
  <cols>
    <col min="1" max="1" width="4.83203125" style="79" customWidth="1"/>
    <col min="2" max="2" width="31.1640625" style="91" customWidth="1"/>
    <col min="3" max="6" width="11.1640625" style="91" bestFit="1" customWidth="1"/>
    <col min="7" max="7" width="11.83203125" style="91" bestFit="1" customWidth="1"/>
    <col min="8" max="8" width="11.1640625" style="91" bestFit="1" customWidth="1"/>
    <col min="9" max="9" width="12.6640625" style="91" bestFit="1" customWidth="1"/>
    <col min="10" max="10" width="11.1640625" style="91" bestFit="1" customWidth="1"/>
    <col min="11" max="11" width="12.6640625" style="91" bestFit="1" customWidth="1"/>
    <col min="12" max="12" width="11.1640625" style="91" customWidth="1"/>
    <col min="13" max="13" width="11.6640625" style="91" customWidth="1"/>
    <col min="14" max="14" width="11" style="91" customWidth="1"/>
    <col min="15" max="15" width="12.6640625" style="79" customWidth="1"/>
    <col min="16" max="16" width="12.6640625" style="79" hidden="1" customWidth="1"/>
    <col min="17" max="17" width="5.83203125" style="840" hidden="1" customWidth="1"/>
    <col min="18" max="18" width="14.6640625" style="813" hidden="1" customWidth="1"/>
    <col min="19" max="19" width="16.6640625" style="813" hidden="1" customWidth="1"/>
    <col min="20" max="16384" width="9.33203125" style="91"/>
  </cols>
  <sheetData>
    <row r="1" spans="1:19" ht="31.5" customHeight="1" x14ac:dyDescent="0.25">
      <c r="A1" s="1242" t="s">
        <v>745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  <c r="L1" s="1243"/>
      <c r="M1" s="1243"/>
      <c r="N1" s="1243"/>
      <c r="O1" s="1243"/>
      <c r="P1" s="754"/>
      <c r="Q1" s="812"/>
    </row>
    <row r="2" spans="1:19" ht="16.5" thickBot="1" x14ac:dyDescent="0.3">
      <c r="O2" s="3" t="s">
        <v>689</v>
      </c>
      <c r="P2" s="3"/>
      <c r="Q2" s="814"/>
    </row>
    <row r="3" spans="1:19" ht="35.25" customHeight="1" thickBot="1" x14ac:dyDescent="0.3">
      <c r="A3" s="687" t="s">
        <v>29</v>
      </c>
      <c r="B3" s="688" t="s">
        <v>76</v>
      </c>
      <c r="C3" s="688" t="s">
        <v>87</v>
      </c>
      <c r="D3" s="688" t="s">
        <v>88</v>
      </c>
      <c r="E3" s="688" t="s">
        <v>89</v>
      </c>
      <c r="F3" s="688" t="s">
        <v>90</v>
      </c>
      <c r="G3" s="688" t="s">
        <v>91</v>
      </c>
      <c r="H3" s="688" t="s">
        <v>92</v>
      </c>
      <c r="I3" s="688" t="s">
        <v>93</v>
      </c>
      <c r="J3" s="688" t="s">
        <v>94</v>
      </c>
      <c r="K3" s="688" t="s">
        <v>95</v>
      </c>
      <c r="L3" s="688" t="s">
        <v>96</v>
      </c>
      <c r="M3" s="688" t="s">
        <v>97</v>
      </c>
      <c r="N3" s="688" t="s">
        <v>98</v>
      </c>
      <c r="O3" s="689" t="s">
        <v>66</v>
      </c>
      <c r="P3" s="815"/>
      <c r="Q3" s="815"/>
    </row>
    <row r="4" spans="1:19" s="81" customFormat="1" ht="15" customHeight="1" thickBot="1" x14ac:dyDescent="0.25">
      <c r="A4" s="80" t="s">
        <v>31</v>
      </c>
      <c r="B4" s="1244" t="s">
        <v>70</v>
      </c>
      <c r="C4" s="1245"/>
      <c r="D4" s="1245"/>
      <c r="E4" s="1245"/>
      <c r="F4" s="1245"/>
      <c r="G4" s="1245"/>
      <c r="H4" s="1245"/>
      <c r="I4" s="1245"/>
      <c r="J4" s="1245"/>
      <c r="K4" s="1245"/>
      <c r="L4" s="1245"/>
      <c r="M4" s="1245"/>
      <c r="N4" s="1245"/>
      <c r="O4" s="1246"/>
      <c r="P4" s="816"/>
      <c r="Q4" s="816"/>
      <c r="R4" s="817"/>
      <c r="S4" s="817"/>
    </row>
    <row r="5" spans="1:19" s="81" customFormat="1" ht="22.5" x14ac:dyDescent="0.2">
      <c r="A5" s="82" t="s">
        <v>32</v>
      </c>
      <c r="B5" s="361" t="s">
        <v>389</v>
      </c>
      <c r="C5" s="414">
        <v>70000000</v>
      </c>
      <c r="D5" s="414">
        <v>105000000</v>
      </c>
      <c r="E5" s="414">
        <v>110000000</v>
      </c>
      <c r="F5" s="414">
        <v>110000000</v>
      </c>
      <c r="G5" s="414">
        <v>110000000</v>
      </c>
      <c r="H5" s="414">
        <v>115000000</v>
      </c>
      <c r="I5" s="414">
        <v>125500000</v>
      </c>
      <c r="J5" s="414">
        <v>125000000</v>
      </c>
      <c r="K5" s="414">
        <v>117000000</v>
      </c>
      <c r="L5" s="414">
        <v>110000000</v>
      </c>
      <c r="M5" s="414">
        <v>110000000</v>
      </c>
      <c r="N5" s="414">
        <v>110081468</v>
      </c>
      <c r="O5" s="818">
        <f t="shared" ref="O5:O14" si="0">SUM(C5:N5)</f>
        <v>1317581468</v>
      </c>
      <c r="P5" s="825"/>
      <c r="Q5" s="819"/>
      <c r="R5" s="820">
        <v>1157368280</v>
      </c>
      <c r="S5" s="821">
        <f t="shared" ref="S5:S8" si="1">O5-R5</f>
        <v>160213188</v>
      </c>
    </row>
    <row r="6" spans="1:19" s="85" customFormat="1" ht="22.5" x14ac:dyDescent="0.2">
      <c r="A6" s="83" t="s">
        <v>33</v>
      </c>
      <c r="B6" s="225" t="s">
        <v>433</v>
      </c>
      <c r="C6" s="389"/>
      <c r="D6" s="389">
        <v>40000000</v>
      </c>
      <c r="E6" s="389"/>
      <c r="F6" s="389">
        <v>40000000</v>
      </c>
      <c r="G6" s="389"/>
      <c r="H6" s="389">
        <v>10965882</v>
      </c>
      <c r="I6" s="389">
        <v>40000000</v>
      </c>
      <c r="J6" s="389">
        <v>10000000</v>
      </c>
      <c r="K6" s="389"/>
      <c r="L6" s="389">
        <v>40000000</v>
      </c>
      <c r="M6" s="389"/>
      <c r="N6" s="389"/>
      <c r="O6" s="822">
        <f t="shared" si="0"/>
        <v>180965882</v>
      </c>
      <c r="P6" s="825"/>
      <c r="Q6" s="819"/>
      <c r="R6" s="823">
        <v>335849323</v>
      </c>
      <c r="S6" s="824">
        <f t="shared" si="1"/>
        <v>-154883441</v>
      </c>
    </row>
    <row r="7" spans="1:19" s="85" customFormat="1" ht="22.5" x14ac:dyDescent="0.2">
      <c r="A7" s="83" t="s">
        <v>34</v>
      </c>
      <c r="B7" s="224" t="s">
        <v>434</v>
      </c>
      <c r="C7" s="390"/>
      <c r="D7" s="390"/>
      <c r="E7" s="390"/>
      <c r="F7" s="390"/>
      <c r="G7" s="390">
        <v>3796748</v>
      </c>
      <c r="H7" s="390"/>
      <c r="I7" s="390"/>
      <c r="J7" s="390"/>
      <c r="K7" s="390"/>
      <c r="L7" s="390"/>
      <c r="M7" s="390">
        <v>5866130</v>
      </c>
      <c r="N7" s="390">
        <v>3779393</v>
      </c>
      <c r="O7" s="822">
        <f t="shared" si="0"/>
        <v>13442271</v>
      </c>
      <c r="P7" s="825"/>
      <c r="Q7" s="825"/>
      <c r="R7" s="823">
        <v>532260298</v>
      </c>
      <c r="S7" s="824">
        <f t="shared" si="1"/>
        <v>-518818027</v>
      </c>
    </row>
    <row r="8" spans="1:19" s="85" customFormat="1" ht="14.1" customHeight="1" x14ac:dyDescent="0.2">
      <c r="A8" s="83" t="s">
        <v>35</v>
      </c>
      <c r="B8" s="223" t="s">
        <v>181</v>
      </c>
      <c r="C8" s="389">
        <v>3000000</v>
      </c>
      <c r="D8" s="389">
        <v>3000000</v>
      </c>
      <c r="E8" s="389">
        <v>120000000</v>
      </c>
      <c r="F8" s="389">
        <v>15000000</v>
      </c>
      <c r="G8" s="389">
        <v>7000000</v>
      </c>
      <c r="H8" s="389">
        <v>9000000</v>
      </c>
      <c r="I8" s="389">
        <v>5000000</v>
      </c>
      <c r="J8" s="389">
        <v>20000000</v>
      </c>
      <c r="K8" s="389">
        <v>120000000</v>
      </c>
      <c r="L8" s="389">
        <v>5000000</v>
      </c>
      <c r="M8" s="389">
        <v>5000000</v>
      </c>
      <c r="N8" s="389">
        <v>40658000</v>
      </c>
      <c r="O8" s="822">
        <f t="shared" si="0"/>
        <v>352658000</v>
      </c>
      <c r="P8" s="819"/>
      <c r="Q8" s="826"/>
      <c r="R8" s="823">
        <v>366490000</v>
      </c>
      <c r="S8" s="824">
        <f t="shared" si="1"/>
        <v>-13832000</v>
      </c>
    </row>
    <row r="9" spans="1:19" s="85" customFormat="1" ht="14.1" customHeight="1" x14ac:dyDescent="0.2">
      <c r="A9" s="83" t="s">
        <v>36</v>
      </c>
      <c r="B9" s="223" t="s">
        <v>435</v>
      </c>
      <c r="C9" s="389">
        <v>36000000</v>
      </c>
      <c r="D9" s="389">
        <v>35000000</v>
      </c>
      <c r="E9" s="389">
        <v>36000000</v>
      </c>
      <c r="F9" s="389">
        <v>35000000</v>
      </c>
      <c r="G9" s="389">
        <v>38000000</v>
      </c>
      <c r="H9" s="389">
        <v>35000000</v>
      </c>
      <c r="I9" s="389">
        <v>33000000</v>
      </c>
      <c r="J9" s="389">
        <v>33000000</v>
      </c>
      <c r="K9" s="389">
        <v>39000000</v>
      </c>
      <c r="L9" s="389">
        <v>38000000</v>
      </c>
      <c r="M9" s="389">
        <v>38000000</v>
      </c>
      <c r="N9" s="389">
        <v>35324867</v>
      </c>
      <c r="O9" s="822">
        <f t="shared" si="0"/>
        <v>431324867</v>
      </c>
      <c r="P9" s="819"/>
      <c r="Q9" s="825"/>
      <c r="R9" s="823">
        <v>464679145</v>
      </c>
      <c r="S9" s="824">
        <f>O9-R9</f>
        <v>-33354278</v>
      </c>
    </row>
    <row r="10" spans="1:19" s="85" customFormat="1" ht="14.1" customHeight="1" x14ac:dyDescent="0.2">
      <c r="A10" s="83" t="s">
        <v>37</v>
      </c>
      <c r="B10" s="223" t="s">
        <v>22</v>
      </c>
      <c r="C10" s="389"/>
      <c r="D10" s="389"/>
      <c r="E10" s="389">
        <v>2625000</v>
      </c>
      <c r="F10" s="389"/>
      <c r="G10" s="389">
        <v>1920000</v>
      </c>
      <c r="H10" s="389"/>
      <c r="I10" s="389">
        <v>3000000</v>
      </c>
      <c r="J10" s="389"/>
      <c r="K10" s="389">
        <v>7787500</v>
      </c>
      <c r="L10" s="389"/>
      <c r="M10" s="389">
        <v>15000000</v>
      </c>
      <c r="N10" s="389"/>
      <c r="O10" s="822">
        <f t="shared" si="0"/>
        <v>30332500</v>
      </c>
      <c r="P10" s="826"/>
      <c r="Q10" s="826"/>
      <c r="R10" s="823">
        <v>47429000</v>
      </c>
      <c r="S10" s="824">
        <f t="shared" ref="S10:S26" si="2">O10-R10</f>
        <v>-17096500</v>
      </c>
    </row>
    <row r="11" spans="1:19" s="85" customFormat="1" ht="14.1" customHeight="1" x14ac:dyDescent="0.2">
      <c r="A11" s="83" t="s">
        <v>38</v>
      </c>
      <c r="B11" s="223" t="s">
        <v>391</v>
      </c>
      <c r="C11" s="389">
        <v>1566000</v>
      </c>
      <c r="D11" s="389">
        <v>250000</v>
      </c>
      <c r="E11" s="389">
        <v>300000</v>
      </c>
      <c r="F11" s="389">
        <v>350000</v>
      </c>
      <c r="G11" s="389">
        <v>250000</v>
      </c>
      <c r="H11" s="389">
        <v>200000</v>
      </c>
      <c r="I11" s="389">
        <v>350000</v>
      </c>
      <c r="J11" s="389">
        <v>250000</v>
      </c>
      <c r="K11" s="389">
        <v>400000</v>
      </c>
      <c r="L11" s="389">
        <v>300000</v>
      </c>
      <c r="M11" s="389">
        <v>300000</v>
      </c>
      <c r="N11" s="389">
        <v>250000</v>
      </c>
      <c r="O11" s="822">
        <f t="shared" si="0"/>
        <v>4766000</v>
      </c>
      <c r="P11" s="825"/>
      <c r="Q11" s="825"/>
      <c r="R11" s="823">
        <v>24244433</v>
      </c>
      <c r="S11" s="824">
        <f t="shared" si="2"/>
        <v>-19478433</v>
      </c>
    </row>
    <row r="12" spans="1:19" s="85" customFormat="1" ht="22.5" x14ac:dyDescent="0.2">
      <c r="A12" s="83" t="s">
        <v>39</v>
      </c>
      <c r="B12" s="225" t="s">
        <v>421</v>
      </c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822">
        <f t="shared" si="0"/>
        <v>0</v>
      </c>
      <c r="P12" s="826"/>
      <c r="Q12" s="826"/>
      <c r="R12" s="823">
        <v>1400000</v>
      </c>
      <c r="S12" s="824">
        <f t="shared" si="2"/>
        <v>-1400000</v>
      </c>
    </row>
    <row r="13" spans="1:19" s="85" customFormat="1" ht="14.1" customHeight="1" thickBot="1" x14ac:dyDescent="0.25">
      <c r="A13" s="83" t="s">
        <v>40</v>
      </c>
      <c r="B13" s="223" t="s">
        <v>23</v>
      </c>
      <c r="C13" s="84">
        <v>595229853</v>
      </c>
      <c r="D13" s="84">
        <v>40000000</v>
      </c>
      <c r="E13" s="84"/>
      <c r="F13" s="84">
        <v>35000000</v>
      </c>
      <c r="G13" s="84"/>
      <c r="H13" s="84">
        <v>25000000</v>
      </c>
      <c r="I13" s="84">
        <v>20000000</v>
      </c>
      <c r="J13" s="84">
        <v>20000000</v>
      </c>
      <c r="K13" s="389">
        <v>33478462</v>
      </c>
      <c r="L13" s="389">
        <v>10000000</v>
      </c>
      <c r="M13" s="389">
        <v>10000000</v>
      </c>
      <c r="N13" s="389"/>
      <c r="O13" s="822">
        <f t="shared" si="0"/>
        <v>788708315</v>
      </c>
      <c r="P13" s="826"/>
      <c r="Q13" s="826"/>
      <c r="R13" s="827">
        <v>480499415</v>
      </c>
      <c r="S13" s="828">
        <f t="shared" si="2"/>
        <v>308208900</v>
      </c>
    </row>
    <row r="14" spans="1:19" s="81" customFormat="1" ht="15.95" customHeight="1" thickBot="1" x14ac:dyDescent="0.25">
      <c r="A14" s="80" t="s">
        <v>41</v>
      </c>
      <c r="B14" s="36" t="s">
        <v>125</v>
      </c>
      <c r="C14" s="86">
        <f t="shared" ref="C14:N14" si="3">SUM(C5:C13)</f>
        <v>705795853</v>
      </c>
      <c r="D14" s="86">
        <f t="shared" si="3"/>
        <v>223250000</v>
      </c>
      <c r="E14" s="86">
        <f t="shared" si="3"/>
        <v>268925000</v>
      </c>
      <c r="F14" s="86">
        <f t="shared" si="3"/>
        <v>235350000</v>
      </c>
      <c r="G14" s="86">
        <f t="shared" si="3"/>
        <v>160966748</v>
      </c>
      <c r="H14" s="86">
        <f t="shared" si="3"/>
        <v>195165882</v>
      </c>
      <c r="I14" s="86">
        <f t="shared" si="3"/>
        <v>226850000</v>
      </c>
      <c r="J14" s="86">
        <f t="shared" si="3"/>
        <v>208250000</v>
      </c>
      <c r="K14" s="86">
        <f t="shared" si="3"/>
        <v>317665962</v>
      </c>
      <c r="L14" s="86">
        <f t="shared" si="3"/>
        <v>203300000</v>
      </c>
      <c r="M14" s="86">
        <f t="shared" si="3"/>
        <v>184166130</v>
      </c>
      <c r="N14" s="86">
        <f t="shared" si="3"/>
        <v>190093728</v>
      </c>
      <c r="O14" s="87">
        <f t="shared" si="0"/>
        <v>3119779303</v>
      </c>
      <c r="P14" s="829"/>
      <c r="Q14" s="829"/>
      <c r="R14" s="830">
        <f>SUM(R5:R13)</f>
        <v>3410219894</v>
      </c>
      <c r="S14" s="831">
        <f t="shared" si="2"/>
        <v>-290440591</v>
      </c>
    </row>
    <row r="15" spans="1:19" s="81" customFormat="1" ht="15" customHeight="1" thickBot="1" x14ac:dyDescent="0.25">
      <c r="A15" s="80" t="s">
        <v>42</v>
      </c>
      <c r="B15" s="1244" t="s">
        <v>71</v>
      </c>
      <c r="C15" s="1245"/>
      <c r="D15" s="1245"/>
      <c r="E15" s="1245"/>
      <c r="F15" s="1245"/>
      <c r="G15" s="1245"/>
      <c r="H15" s="1245"/>
      <c r="I15" s="1245"/>
      <c r="J15" s="1245"/>
      <c r="K15" s="1245"/>
      <c r="L15" s="1245"/>
      <c r="M15" s="1245"/>
      <c r="N15" s="1245"/>
      <c r="O15" s="1246"/>
      <c r="P15" s="816"/>
      <c r="Q15" s="816"/>
      <c r="R15" s="817"/>
      <c r="S15" s="832">
        <f t="shared" si="2"/>
        <v>0</v>
      </c>
    </row>
    <row r="16" spans="1:19" s="85" customFormat="1" ht="14.1" customHeight="1" x14ac:dyDescent="0.2">
      <c r="A16" s="833" t="s">
        <v>43</v>
      </c>
      <c r="B16" s="834" t="s">
        <v>77</v>
      </c>
      <c r="C16" s="835">
        <v>80000000</v>
      </c>
      <c r="D16" s="835">
        <v>81000000</v>
      </c>
      <c r="E16" s="835">
        <v>83100000</v>
      </c>
      <c r="F16" s="835">
        <v>81000000</v>
      </c>
      <c r="G16" s="835">
        <v>80000000</v>
      </c>
      <c r="H16" s="835">
        <v>82000000</v>
      </c>
      <c r="I16" s="835">
        <v>80000000</v>
      </c>
      <c r="J16" s="835">
        <v>81000000</v>
      </c>
      <c r="K16" s="835">
        <v>83100000</v>
      </c>
      <c r="L16" s="835">
        <v>80000000</v>
      </c>
      <c r="M16" s="835">
        <v>80000000</v>
      </c>
      <c r="N16" s="835">
        <v>80989321</v>
      </c>
      <c r="O16" s="836">
        <f t="shared" ref="O16:O26" si="4">SUM(C16:N16)</f>
        <v>972189321</v>
      </c>
      <c r="P16" s="825"/>
      <c r="Q16" s="825"/>
      <c r="R16" s="837">
        <v>1094113234</v>
      </c>
      <c r="S16" s="821">
        <f t="shared" si="2"/>
        <v>-121923913</v>
      </c>
    </row>
    <row r="17" spans="1:19" s="85" customFormat="1" ht="27" customHeight="1" x14ac:dyDescent="0.2">
      <c r="A17" s="83" t="s">
        <v>44</v>
      </c>
      <c r="B17" s="225" t="s">
        <v>190</v>
      </c>
      <c r="C17" s="389">
        <v>16500000</v>
      </c>
      <c r="D17" s="389">
        <v>17000000</v>
      </c>
      <c r="E17" s="389">
        <v>18500000</v>
      </c>
      <c r="F17" s="389">
        <v>17000000</v>
      </c>
      <c r="G17" s="389">
        <v>16500000</v>
      </c>
      <c r="H17" s="389">
        <v>18000000</v>
      </c>
      <c r="I17" s="389">
        <v>16500000</v>
      </c>
      <c r="J17" s="389">
        <v>17000000</v>
      </c>
      <c r="K17" s="389">
        <v>18500000</v>
      </c>
      <c r="L17" s="389">
        <v>16500000</v>
      </c>
      <c r="M17" s="389">
        <v>16500000</v>
      </c>
      <c r="N17" s="389">
        <v>16603347</v>
      </c>
      <c r="O17" s="822">
        <f t="shared" si="4"/>
        <v>205103347</v>
      </c>
      <c r="P17" s="825"/>
      <c r="Q17" s="825"/>
      <c r="R17" s="823">
        <v>230642127</v>
      </c>
      <c r="S17" s="824">
        <f t="shared" si="2"/>
        <v>-25538780</v>
      </c>
    </row>
    <row r="18" spans="1:19" s="85" customFormat="1" ht="14.1" customHeight="1" x14ac:dyDescent="0.2">
      <c r="A18" s="83" t="s">
        <v>45</v>
      </c>
      <c r="B18" s="223" t="s">
        <v>151</v>
      </c>
      <c r="C18" s="389">
        <v>80000000</v>
      </c>
      <c r="D18" s="389">
        <v>75000000</v>
      </c>
      <c r="E18" s="389">
        <v>77400000</v>
      </c>
      <c r="F18" s="389">
        <v>83000000</v>
      </c>
      <c r="G18" s="389">
        <v>71000000</v>
      </c>
      <c r="H18" s="389">
        <v>74000000</v>
      </c>
      <c r="I18" s="389">
        <v>77000000</v>
      </c>
      <c r="J18" s="389">
        <v>76000000</v>
      </c>
      <c r="K18" s="389">
        <v>80000000</v>
      </c>
      <c r="L18" s="389">
        <v>76071448</v>
      </c>
      <c r="M18" s="389">
        <v>75000000</v>
      </c>
      <c r="N18" s="389">
        <v>70000000</v>
      </c>
      <c r="O18" s="822">
        <f t="shared" si="4"/>
        <v>914471448</v>
      </c>
      <c r="P18" s="825"/>
      <c r="Q18" s="825"/>
      <c r="R18" s="823">
        <v>953351741</v>
      </c>
      <c r="S18" s="824">
        <f t="shared" si="2"/>
        <v>-38880293</v>
      </c>
    </row>
    <row r="19" spans="1:19" s="85" customFormat="1" ht="14.1" customHeight="1" x14ac:dyDescent="0.2">
      <c r="A19" s="83" t="s">
        <v>46</v>
      </c>
      <c r="B19" s="223" t="s">
        <v>191</v>
      </c>
      <c r="C19" s="389">
        <v>5100000</v>
      </c>
      <c r="D19" s="389">
        <v>5200000</v>
      </c>
      <c r="E19" s="389">
        <v>5400000</v>
      </c>
      <c r="F19" s="389">
        <v>5300000</v>
      </c>
      <c r="G19" s="389">
        <v>5150000</v>
      </c>
      <c r="H19" s="389">
        <v>5000000</v>
      </c>
      <c r="I19" s="389">
        <v>5000000</v>
      </c>
      <c r="J19" s="389">
        <v>15000000</v>
      </c>
      <c r="K19" s="389">
        <v>5000000</v>
      </c>
      <c r="L19" s="389">
        <v>5100000</v>
      </c>
      <c r="M19" s="389">
        <v>15000000</v>
      </c>
      <c r="N19" s="389">
        <v>21000000</v>
      </c>
      <c r="O19" s="822">
        <f t="shared" si="4"/>
        <v>97250000</v>
      </c>
      <c r="P19" s="825"/>
      <c r="Q19" s="825"/>
      <c r="R19" s="823">
        <v>77248740</v>
      </c>
      <c r="S19" s="824">
        <f t="shared" si="2"/>
        <v>20001260</v>
      </c>
    </row>
    <row r="20" spans="1:19" s="85" customFormat="1" ht="14.1" customHeight="1" x14ac:dyDescent="0.2">
      <c r="A20" s="83" t="s">
        <v>47</v>
      </c>
      <c r="B20" s="223" t="s">
        <v>24</v>
      </c>
      <c r="C20" s="389"/>
      <c r="D20" s="389"/>
      <c r="E20" s="389">
        <v>10000000</v>
      </c>
      <c r="F20" s="389">
        <v>12000000</v>
      </c>
      <c r="G20" s="389">
        <v>15000000</v>
      </c>
      <c r="H20" s="389">
        <v>20000000</v>
      </c>
      <c r="I20" s="389">
        <v>15000000</v>
      </c>
      <c r="J20" s="389">
        <v>14000000</v>
      </c>
      <c r="K20" s="389">
        <v>15000000</v>
      </c>
      <c r="L20" s="389">
        <v>20000000</v>
      </c>
      <c r="M20" s="389">
        <v>15000000</v>
      </c>
      <c r="N20" s="389">
        <v>12261084</v>
      </c>
      <c r="O20" s="822">
        <f t="shared" si="4"/>
        <v>148261084</v>
      </c>
      <c r="P20" s="825"/>
      <c r="Q20" s="825"/>
      <c r="R20" s="823">
        <v>117690011</v>
      </c>
      <c r="S20" s="824">
        <f t="shared" si="2"/>
        <v>30571073</v>
      </c>
    </row>
    <row r="21" spans="1:19" s="85" customFormat="1" ht="14.1" customHeight="1" x14ac:dyDescent="0.2">
      <c r="A21" s="83" t="s">
        <v>48</v>
      </c>
      <c r="B21" s="223" t="s">
        <v>236</v>
      </c>
      <c r="C21" s="389">
        <v>3000000</v>
      </c>
      <c r="D21" s="389">
        <v>3000000</v>
      </c>
      <c r="E21" s="389">
        <v>40000000</v>
      </c>
      <c r="F21" s="389">
        <v>3000000</v>
      </c>
      <c r="G21" s="389">
        <v>57000000</v>
      </c>
      <c r="H21" s="389">
        <v>37000000</v>
      </c>
      <c r="I21" s="389">
        <v>60000000</v>
      </c>
      <c r="J21" s="389">
        <v>3000000</v>
      </c>
      <c r="K21" s="389">
        <v>50000000</v>
      </c>
      <c r="L21" s="389">
        <v>30481603</v>
      </c>
      <c r="M21" s="389">
        <v>15000000</v>
      </c>
      <c r="N21" s="389">
        <v>5000000</v>
      </c>
      <c r="O21" s="822">
        <f t="shared" si="4"/>
        <v>306481603</v>
      </c>
      <c r="P21" s="825"/>
      <c r="Q21" s="825"/>
      <c r="R21" s="838">
        <v>340602433</v>
      </c>
      <c r="S21" s="824">
        <f t="shared" si="2"/>
        <v>-34120830</v>
      </c>
    </row>
    <row r="22" spans="1:19" s="85" customFormat="1" x14ac:dyDescent="0.2">
      <c r="A22" s="83" t="s">
        <v>49</v>
      </c>
      <c r="B22" s="225" t="s">
        <v>194</v>
      </c>
      <c r="C22" s="389">
        <v>1000000</v>
      </c>
      <c r="D22" s="389">
        <v>10000000</v>
      </c>
      <c r="E22" s="389">
        <v>5000000</v>
      </c>
      <c r="F22" s="389">
        <v>7000000</v>
      </c>
      <c r="G22" s="389">
        <v>30000000</v>
      </c>
      <c r="H22" s="389">
        <v>10000000</v>
      </c>
      <c r="I22" s="389">
        <v>50000000</v>
      </c>
      <c r="J22" s="389">
        <v>12000000</v>
      </c>
      <c r="K22" s="389">
        <v>50000000</v>
      </c>
      <c r="L22" s="389">
        <v>3000000</v>
      </c>
      <c r="M22" s="389">
        <v>2810962</v>
      </c>
      <c r="N22" s="389">
        <v>2000000</v>
      </c>
      <c r="O22" s="822">
        <f t="shared" si="4"/>
        <v>182810962</v>
      </c>
      <c r="P22" s="825"/>
      <c r="Q22" s="825"/>
      <c r="R22" s="823">
        <v>345284910</v>
      </c>
      <c r="S22" s="824">
        <f t="shared" si="2"/>
        <v>-162473948</v>
      </c>
    </row>
    <row r="23" spans="1:19" s="85" customFormat="1" ht="14.1" customHeight="1" x14ac:dyDescent="0.2">
      <c r="A23" s="83" t="s">
        <v>50</v>
      </c>
      <c r="B23" s="223" t="s">
        <v>238</v>
      </c>
      <c r="C23" s="389"/>
      <c r="D23" s="389"/>
      <c r="E23" s="389">
        <v>34286575</v>
      </c>
      <c r="F23" s="389"/>
      <c r="G23" s="389"/>
      <c r="H23" s="389">
        <v>9221949</v>
      </c>
      <c r="I23" s="389">
        <f>3094850+1988342</f>
        <v>5083192</v>
      </c>
      <c r="J23" s="389">
        <v>17119005</v>
      </c>
      <c r="K23" s="389"/>
      <c r="L23" s="389"/>
      <c r="M23" s="389"/>
      <c r="N23" s="389"/>
      <c r="O23" s="822">
        <f t="shared" si="4"/>
        <v>65710721</v>
      </c>
      <c r="P23" s="825"/>
      <c r="Q23" s="825"/>
      <c r="R23" s="823">
        <v>48504500</v>
      </c>
      <c r="S23" s="824">
        <f t="shared" si="2"/>
        <v>17206221</v>
      </c>
    </row>
    <row r="24" spans="1:19" s="85" customFormat="1" ht="14.1" customHeight="1" x14ac:dyDescent="0.2">
      <c r="A24" s="83" t="s">
        <v>51</v>
      </c>
      <c r="B24" s="223" t="s">
        <v>63</v>
      </c>
      <c r="C24" s="389"/>
      <c r="D24" s="389"/>
      <c r="E24" s="389">
        <v>3000000</v>
      </c>
      <c r="F24" s="389">
        <v>4000000</v>
      </c>
      <c r="G24" s="389">
        <v>4800000</v>
      </c>
      <c r="H24" s="389">
        <v>10000000</v>
      </c>
      <c r="I24" s="389">
        <v>8000000</v>
      </c>
      <c r="J24" s="389">
        <v>9000000</v>
      </c>
      <c r="K24" s="389">
        <v>10000000</v>
      </c>
      <c r="L24" s="389">
        <v>9000000</v>
      </c>
      <c r="M24" s="389">
        <v>15046522</v>
      </c>
      <c r="N24" s="389">
        <v>8000000</v>
      </c>
      <c r="O24" s="822">
        <f t="shared" si="4"/>
        <v>80846522</v>
      </c>
      <c r="P24" s="825"/>
      <c r="Q24" s="825"/>
      <c r="R24" s="823">
        <v>64456266</v>
      </c>
      <c r="S24" s="824">
        <f t="shared" si="2"/>
        <v>16390256</v>
      </c>
    </row>
    <row r="25" spans="1:19" s="85" customFormat="1" ht="14.1" customHeight="1" thickBot="1" x14ac:dyDescent="0.25">
      <c r="A25" s="83" t="s">
        <v>52</v>
      </c>
      <c r="B25" s="223" t="s">
        <v>25</v>
      </c>
      <c r="C25" s="84">
        <v>38167591</v>
      </c>
      <c r="D25" s="84"/>
      <c r="E25" s="84">
        <v>2121676</v>
      </c>
      <c r="F25" s="389"/>
      <c r="G25" s="84"/>
      <c r="H25" s="389">
        <v>2121676</v>
      </c>
      <c r="I25" s="389"/>
      <c r="J25" s="389"/>
      <c r="K25" s="389">
        <v>2121676</v>
      </c>
      <c r="L25" s="389">
        <v>30000000</v>
      </c>
      <c r="M25" s="389"/>
      <c r="N25" s="389">
        <v>72121676</v>
      </c>
      <c r="O25" s="690">
        <f t="shared" si="4"/>
        <v>146654295</v>
      </c>
      <c r="P25" s="826"/>
      <c r="Q25" s="826"/>
      <c r="R25" s="827">
        <v>138325932</v>
      </c>
      <c r="S25" s="828">
        <f t="shared" si="2"/>
        <v>8328363</v>
      </c>
    </row>
    <row r="26" spans="1:19" s="81" customFormat="1" ht="15.95" customHeight="1" thickBot="1" x14ac:dyDescent="0.25">
      <c r="A26" s="88" t="s">
        <v>53</v>
      </c>
      <c r="B26" s="36" t="s">
        <v>126</v>
      </c>
      <c r="C26" s="86">
        <f t="shared" ref="C26:N26" si="5">SUM(C16:C25)</f>
        <v>223767591</v>
      </c>
      <c r="D26" s="86">
        <f t="shared" si="5"/>
        <v>191200000</v>
      </c>
      <c r="E26" s="86">
        <f t="shared" si="5"/>
        <v>278808251</v>
      </c>
      <c r="F26" s="86">
        <f t="shared" si="5"/>
        <v>212300000</v>
      </c>
      <c r="G26" s="86">
        <f t="shared" si="5"/>
        <v>279450000</v>
      </c>
      <c r="H26" s="86">
        <f t="shared" si="5"/>
        <v>267343625</v>
      </c>
      <c r="I26" s="86">
        <f t="shared" si="5"/>
        <v>316583192</v>
      </c>
      <c r="J26" s="86">
        <f t="shared" si="5"/>
        <v>244119005</v>
      </c>
      <c r="K26" s="86">
        <f t="shared" si="5"/>
        <v>313721676</v>
      </c>
      <c r="L26" s="86">
        <f t="shared" si="5"/>
        <v>270153051</v>
      </c>
      <c r="M26" s="86">
        <f t="shared" si="5"/>
        <v>234357484</v>
      </c>
      <c r="N26" s="86">
        <f t="shared" si="5"/>
        <v>287975428</v>
      </c>
      <c r="O26" s="87">
        <f t="shared" si="4"/>
        <v>3119779303</v>
      </c>
      <c r="P26" s="829"/>
      <c r="Q26" s="829"/>
      <c r="R26" s="830">
        <f>SUM(R16:R25)</f>
        <v>3410219894</v>
      </c>
      <c r="S26" s="831">
        <f t="shared" si="2"/>
        <v>-290440591</v>
      </c>
    </row>
    <row r="27" spans="1:19" ht="16.5" thickBot="1" x14ac:dyDescent="0.3">
      <c r="A27" s="88" t="s">
        <v>54</v>
      </c>
      <c r="B27" s="226" t="s">
        <v>127</v>
      </c>
      <c r="C27" s="89">
        <f t="shared" ref="C27:O27" si="6">C14-C26</f>
        <v>482028262</v>
      </c>
      <c r="D27" s="89">
        <f t="shared" si="6"/>
        <v>32050000</v>
      </c>
      <c r="E27" s="89">
        <f t="shared" si="6"/>
        <v>-9883251</v>
      </c>
      <c r="F27" s="89">
        <f t="shared" si="6"/>
        <v>23050000</v>
      </c>
      <c r="G27" s="89">
        <f t="shared" si="6"/>
        <v>-118483252</v>
      </c>
      <c r="H27" s="89">
        <f t="shared" si="6"/>
        <v>-72177743</v>
      </c>
      <c r="I27" s="89">
        <f t="shared" si="6"/>
        <v>-89733192</v>
      </c>
      <c r="J27" s="89">
        <f t="shared" si="6"/>
        <v>-35869005</v>
      </c>
      <c r="K27" s="89">
        <f t="shared" si="6"/>
        <v>3944286</v>
      </c>
      <c r="L27" s="89">
        <f t="shared" si="6"/>
        <v>-66853051</v>
      </c>
      <c r="M27" s="89">
        <f t="shared" si="6"/>
        <v>-50191354</v>
      </c>
      <c r="N27" s="89">
        <f t="shared" si="6"/>
        <v>-97881700</v>
      </c>
      <c r="O27" s="90">
        <f t="shared" si="6"/>
        <v>0</v>
      </c>
      <c r="P27" s="839"/>
      <c r="Q27" s="839"/>
    </row>
    <row r="28" spans="1:19" x14ac:dyDescent="0.25">
      <c r="A28" s="92"/>
    </row>
    <row r="29" spans="1:19" x14ac:dyDescent="0.25">
      <c r="B29" s="93"/>
      <c r="C29" s="94"/>
      <c r="D29" s="94"/>
      <c r="O29" s="91"/>
      <c r="P29" s="91"/>
      <c r="Q29" s="841"/>
    </row>
    <row r="30" spans="1:19" x14ac:dyDescent="0.25">
      <c r="O30" s="91"/>
      <c r="P30" s="91"/>
      <c r="Q30" s="841"/>
    </row>
    <row r="31" spans="1:19" x14ac:dyDescent="0.25">
      <c r="O31" s="91"/>
      <c r="P31" s="91"/>
      <c r="Q31" s="841"/>
    </row>
    <row r="32" spans="1:19" x14ac:dyDescent="0.25">
      <c r="O32" s="91"/>
      <c r="P32" s="91"/>
      <c r="Q32" s="841"/>
    </row>
    <row r="33" spans="15:17" x14ac:dyDescent="0.25">
      <c r="O33" s="91"/>
      <c r="P33" s="91"/>
      <c r="Q33" s="841"/>
    </row>
    <row r="34" spans="15:17" x14ac:dyDescent="0.25">
      <c r="O34" s="91"/>
      <c r="P34" s="91"/>
      <c r="Q34" s="841"/>
    </row>
    <row r="35" spans="15:17" x14ac:dyDescent="0.25">
      <c r="O35" s="91"/>
      <c r="P35" s="91"/>
      <c r="Q35" s="841"/>
    </row>
    <row r="36" spans="15:17" x14ac:dyDescent="0.25">
      <c r="O36" s="91"/>
      <c r="P36" s="91"/>
      <c r="Q36" s="841"/>
    </row>
    <row r="37" spans="15:17" x14ac:dyDescent="0.25">
      <c r="O37" s="91"/>
      <c r="P37" s="91"/>
      <c r="Q37" s="841"/>
    </row>
    <row r="38" spans="15:17" x14ac:dyDescent="0.25">
      <c r="O38" s="91"/>
      <c r="P38" s="91"/>
      <c r="Q38" s="841"/>
    </row>
    <row r="39" spans="15:17" x14ac:dyDescent="0.25">
      <c r="O39" s="91"/>
      <c r="P39" s="91"/>
      <c r="Q39" s="841"/>
    </row>
    <row r="40" spans="15:17" x14ac:dyDescent="0.25">
      <c r="O40" s="91"/>
      <c r="P40" s="91"/>
      <c r="Q40" s="841"/>
    </row>
    <row r="41" spans="15:17" x14ac:dyDescent="0.25">
      <c r="O41" s="91"/>
      <c r="P41" s="91"/>
      <c r="Q41" s="841"/>
    </row>
    <row r="42" spans="15:17" x14ac:dyDescent="0.25">
      <c r="O42" s="91"/>
      <c r="P42" s="91"/>
      <c r="Q42" s="841"/>
    </row>
    <row r="43" spans="15:17" x14ac:dyDescent="0.25">
      <c r="O43" s="91"/>
      <c r="P43" s="91"/>
      <c r="Q43" s="841"/>
    </row>
    <row r="44" spans="15:17" x14ac:dyDescent="0.25">
      <c r="O44" s="91"/>
      <c r="P44" s="91"/>
      <c r="Q44" s="841"/>
    </row>
    <row r="45" spans="15:17" x14ac:dyDescent="0.25">
      <c r="O45" s="91"/>
      <c r="P45" s="91"/>
      <c r="Q45" s="841"/>
    </row>
    <row r="46" spans="15:17" x14ac:dyDescent="0.25">
      <c r="O46" s="91"/>
      <c r="P46" s="91"/>
      <c r="Q46" s="841"/>
    </row>
    <row r="47" spans="15:17" x14ac:dyDescent="0.25">
      <c r="O47" s="91"/>
      <c r="P47" s="91"/>
      <c r="Q47" s="841"/>
    </row>
    <row r="48" spans="15:17" x14ac:dyDescent="0.25">
      <c r="O48" s="91"/>
      <c r="P48" s="91"/>
      <c r="Q48" s="841"/>
    </row>
    <row r="49" spans="15:17" x14ac:dyDescent="0.25">
      <c r="O49" s="91"/>
      <c r="P49" s="91"/>
      <c r="Q49" s="841"/>
    </row>
    <row r="50" spans="15:17" x14ac:dyDescent="0.25">
      <c r="O50" s="91"/>
      <c r="P50" s="91"/>
      <c r="Q50" s="841"/>
    </row>
    <row r="51" spans="15:17" x14ac:dyDescent="0.25">
      <c r="O51" s="91"/>
      <c r="P51" s="91"/>
      <c r="Q51" s="841"/>
    </row>
    <row r="52" spans="15:17" x14ac:dyDescent="0.25">
      <c r="O52" s="91"/>
      <c r="P52" s="91"/>
      <c r="Q52" s="841"/>
    </row>
    <row r="53" spans="15:17" x14ac:dyDescent="0.25">
      <c r="O53" s="91"/>
      <c r="P53" s="91"/>
      <c r="Q53" s="841"/>
    </row>
    <row r="54" spans="15:17" x14ac:dyDescent="0.25">
      <c r="O54" s="91"/>
      <c r="P54" s="91"/>
      <c r="Q54" s="841"/>
    </row>
    <row r="55" spans="15:17" x14ac:dyDescent="0.25">
      <c r="O55" s="91"/>
      <c r="P55" s="91"/>
      <c r="Q55" s="841"/>
    </row>
    <row r="56" spans="15:17" x14ac:dyDescent="0.25">
      <c r="O56" s="91"/>
      <c r="P56" s="91"/>
      <c r="Q56" s="841"/>
    </row>
    <row r="57" spans="15:17" x14ac:dyDescent="0.25">
      <c r="O57" s="91"/>
      <c r="P57" s="91"/>
      <c r="Q57" s="841"/>
    </row>
    <row r="58" spans="15:17" x14ac:dyDescent="0.25">
      <c r="O58" s="91"/>
      <c r="P58" s="91"/>
      <c r="Q58" s="841"/>
    </row>
    <row r="59" spans="15:17" x14ac:dyDescent="0.25">
      <c r="O59" s="91"/>
      <c r="P59" s="91"/>
      <c r="Q59" s="841"/>
    </row>
    <row r="60" spans="15:17" x14ac:dyDescent="0.25">
      <c r="O60" s="91"/>
      <c r="P60" s="91"/>
      <c r="Q60" s="841"/>
    </row>
    <row r="61" spans="15:17" x14ac:dyDescent="0.25">
      <c r="O61" s="91"/>
      <c r="P61" s="91"/>
      <c r="Q61" s="841"/>
    </row>
    <row r="62" spans="15:17" x14ac:dyDescent="0.25">
      <c r="O62" s="91"/>
      <c r="P62" s="91"/>
      <c r="Q62" s="841"/>
    </row>
    <row r="63" spans="15:17" x14ac:dyDescent="0.25">
      <c r="O63" s="91"/>
      <c r="P63" s="91"/>
      <c r="Q63" s="841"/>
    </row>
    <row r="64" spans="15:17" x14ac:dyDescent="0.25">
      <c r="O64" s="91"/>
      <c r="P64" s="91"/>
      <c r="Q64" s="841"/>
    </row>
    <row r="65" spans="15:17" x14ac:dyDescent="0.25">
      <c r="O65" s="91"/>
      <c r="P65" s="91"/>
      <c r="Q65" s="841"/>
    </row>
    <row r="66" spans="15:17" x14ac:dyDescent="0.25">
      <c r="O66" s="91"/>
      <c r="P66" s="91"/>
      <c r="Q66" s="841"/>
    </row>
    <row r="67" spans="15:17" x14ac:dyDescent="0.25">
      <c r="O67" s="91"/>
      <c r="P67" s="91"/>
      <c r="Q67" s="841"/>
    </row>
    <row r="68" spans="15:17" x14ac:dyDescent="0.25">
      <c r="O68" s="91"/>
      <c r="P68" s="91"/>
      <c r="Q68" s="841"/>
    </row>
    <row r="69" spans="15:17" x14ac:dyDescent="0.25">
      <c r="O69" s="91"/>
      <c r="P69" s="91"/>
      <c r="Q69" s="841"/>
    </row>
    <row r="70" spans="15:17" x14ac:dyDescent="0.25">
      <c r="O70" s="91"/>
      <c r="P70" s="91"/>
      <c r="Q70" s="841"/>
    </row>
    <row r="71" spans="15:17" x14ac:dyDescent="0.25">
      <c r="O71" s="91"/>
      <c r="P71" s="91"/>
      <c r="Q71" s="841"/>
    </row>
    <row r="72" spans="15:17" x14ac:dyDescent="0.25">
      <c r="O72" s="91"/>
      <c r="P72" s="91"/>
      <c r="Q72" s="841"/>
    </row>
    <row r="73" spans="15:17" x14ac:dyDescent="0.25">
      <c r="O73" s="91"/>
      <c r="P73" s="91"/>
      <c r="Q73" s="841"/>
    </row>
    <row r="74" spans="15:17" x14ac:dyDescent="0.25">
      <c r="O74" s="91"/>
      <c r="P74" s="91"/>
      <c r="Q74" s="841"/>
    </row>
    <row r="75" spans="15:17" x14ac:dyDescent="0.25">
      <c r="O75" s="91"/>
      <c r="P75" s="91"/>
      <c r="Q75" s="841"/>
    </row>
    <row r="76" spans="15:17" x14ac:dyDescent="0.25">
      <c r="O76" s="91"/>
      <c r="P76" s="91"/>
      <c r="Q76" s="841"/>
    </row>
    <row r="77" spans="15:17" x14ac:dyDescent="0.25">
      <c r="O77" s="91"/>
      <c r="P77" s="91"/>
      <c r="Q77" s="841"/>
    </row>
    <row r="78" spans="15:17" x14ac:dyDescent="0.25">
      <c r="O78" s="91"/>
      <c r="P78" s="91"/>
      <c r="Q78" s="841"/>
    </row>
    <row r="79" spans="15:17" x14ac:dyDescent="0.25">
      <c r="O79" s="91"/>
      <c r="P79" s="91"/>
      <c r="Q79" s="841"/>
    </row>
    <row r="80" spans="15:17" x14ac:dyDescent="0.25">
      <c r="O80" s="91"/>
      <c r="P80" s="91"/>
      <c r="Q80" s="841"/>
    </row>
    <row r="81" spans="15:17" x14ac:dyDescent="0.25">
      <c r="O81" s="91"/>
      <c r="P81" s="91"/>
      <c r="Q81" s="841"/>
    </row>
    <row r="82" spans="15:17" x14ac:dyDescent="0.25">
      <c r="O82" s="91"/>
      <c r="P82" s="91"/>
      <c r="Q82" s="841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4. sz. tájékoztató tábla a ../......(........) önkormányzati rendelethez
TÁJÉKOZTATÓ TÁBLA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view="pageLayout" topLeftCell="C1" zoomScale="145" zoomScaleNormal="100" zoomScalePageLayoutView="145" workbookViewId="0">
      <selection activeCell="I6" sqref="I6"/>
    </sheetView>
  </sheetViews>
  <sheetFormatPr defaultColWidth="10.6640625" defaultRowHeight="12.75" x14ac:dyDescent="0.2"/>
  <cols>
    <col min="1" max="1" width="60.1640625" style="376" customWidth="1"/>
    <col min="2" max="2" width="48.83203125" style="380" customWidth="1"/>
    <col min="3" max="3" width="16.5" style="376" bestFit="1" customWidth="1"/>
    <col min="4" max="4" width="15" style="376" customWidth="1"/>
    <col min="5" max="256" width="10.6640625" style="376"/>
    <col min="257" max="257" width="60.1640625" style="376" customWidth="1"/>
    <col min="258" max="258" width="48.83203125" style="376" customWidth="1"/>
    <col min="259" max="259" width="16.5" style="376" bestFit="1" customWidth="1"/>
    <col min="260" max="260" width="15" style="376" customWidth="1"/>
    <col min="261" max="512" width="10.6640625" style="376"/>
    <col min="513" max="513" width="60.1640625" style="376" customWidth="1"/>
    <col min="514" max="514" width="48.83203125" style="376" customWidth="1"/>
    <col min="515" max="515" width="16.5" style="376" bestFit="1" customWidth="1"/>
    <col min="516" max="516" width="15" style="376" customWidth="1"/>
    <col min="517" max="768" width="10.6640625" style="376"/>
    <col min="769" max="769" width="60.1640625" style="376" customWidth="1"/>
    <col min="770" max="770" width="48.83203125" style="376" customWidth="1"/>
    <col min="771" max="771" width="16.5" style="376" bestFit="1" customWidth="1"/>
    <col min="772" max="772" width="15" style="376" customWidth="1"/>
    <col min="773" max="1024" width="10.6640625" style="376"/>
    <col min="1025" max="1025" width="60.1640625" style="376" customWidth="1"/>
    <col min="1026" max="1026" width="48.83203125" style="376" customWidth="1"/>
    <col min="1027" max="1027" width="16.5" style="376" bestFit="1" customWidth="1"/>
    <col min="1028" max="1028" width="15" style="376" customWidth="1"/>
    <col min="1029" max="1280" width="10.6640625" style="376"/>
    <col min="1281" max="1281" width="60.1640625" style="376" customWidth="1"/>
    <col min="1282" max="1282" width="48.83203125" style="376" customWidth="1"/>
    <col min="1283" max="1283" width="16.5" style="376" bestFit="1" customWidth="1"/>
    <col min="1284" max="1284" width="15" style="376" customWidth="1"/>
    <col min="1285" max="1536" width="10.6640625" style="376"/>
    <col min="1537" max="1537" width="60.1640625" style="376" customWidth="1"/>
    <col min="1538" max="1538" width="48.83203125" style="376" customWidth="1"/>
    <col min="1539" max="1539" width="16.5" style="376" bestFit="1" customWidth="1"/>
    <col min="1540" max="1540" width="15" style="376" customWidth="1"/>
    <col min="1541" max="1792" width="10.6640625" style="376"/>
    <col min="1793" max="1793" width="60.1640625" style="376" customWidth="1"/>
    <col min="1794" max="1794" width="48.83203125" style="376" customWidth="1"/>
    <col min="1795" max="1795" width="16.5" style="376" bestFit="1" customWidth="1"/>
    <col min="1796" max="1796" width="15" style="376" customWidth="1"/>
    <col min="1797" max="2048" width="10.6640625" style="376"/>
    <col min="2049" max="2049" width="60.1640625" style="376" customWidth="1"/>
    <col min="2050" max="2050" width="48.83203125" style="376" customWidth="1"/>
    <col min="2051" max="2051" width="16.5" style="376" bestFit="1" customWidth="1"/>
    <col min="2052" max="2052" width="15" style="376" customWidth="1"/>
    <col min="2053" max="2304" width="10.6640625" style="376"/>
    <col min="2305" max="2305" width="60.1640625" style="376" customWidth="1"/>
    <col min="2306" max="2306" width="48.83203125" style="376" customWidth="1"/>
    <col min="2307" max="2307" width="16.5" style="376" bestFit="1" customWidth="1"/>
    <col min="2308" max="2308" width="15" style="376" customWidth="1"/>
    <col min="2309" max="2560" width="10.6640625" style="376"/>
    <col min="2561" max="2561" width="60.1640625" style="376" customWidth="1"/>
    <col min="2562" max="2562" width="48.83203125" style="376" customWidth="1"/>
    <col min="2563" max="2563" width="16.5" style="376" bestFit="1" customWidth="1"/>
    <col min="2564" max="2564" width="15" style="376" customWidth="1"/>
    <col min="2565" max="2816" width="10.6640625" style="376"/>
    <col min="2817" max="2817" width="60.1640625" style="376" customWidth="1"/>
    <col min="2818" max="2818" width="48.83203125" style="376" customWidth="1"/>
    <col min="2819" max="2819" width="16.5" style="376" bestFit="1" customWidth="1"/>
    <col min="2820" max="2820" width="15" style="376" customWidth="1"/>
    <col min="2821" max="3072" width="10.6640625" style="376"/>
    <col min="3073" max="3073" width="60.1640625" style="376" customWidth="1"/>
    <col min="3074" max="3074" width="48.83203125" style="376" customWidth="1"/>
    <col min="3075" max="3075" width="16.5" style="376" bestFit="1" customWidth="1"/>
    <col min="3076" max="3076" width="15" style="376" customWidth="1"/>
    <col min="3077" max="3328" width="10.6640625" style="376"/>
    <col min="3329" max="3329" width="60.1640625" style="376" customWidth="1"/>
    <col min="3330" max="3330" width="48.83203125" style="376" customWidth="1"/>
    <col min="3331" max="3331" width="16.5" style="376" bestFit="1" customWidth="1"/>
    <col min="3332" max="3332" width="15" style="376" customWidth="1"/>
    <col min="3333" max="3584" width="10.6640625" style="376"/>
    <col min="3585" max="3585" width="60.1640625" style="376" customWidth="1"/>
    <col min="3586" max="3586" width="48.83203125" style="376" customWidth="1"/>
    <col min="3587" max="3587" width="16.5" style="376" bestFit="1" customWidth="1"/>
    <col min="3588" max="3588" width="15" style="376" customWidth="1"/>
    <col min="3589" max="3840" width="10.6640625" style="376"/>
    <col min="3841" max="3841" width="60.1640625" style="376" customWidth="1"/>
    <col min="3842" max="3842" width="48.83203125" style="376" customWidth="1"/>
    <col min="3843" max="3843" width="16.5" style="376" bestFit="1" customWidth="1"/>
    <col min="3844" max="3844" width="15" style="376" customWidth="1"/>
    <col min="3845" max="4096" width="10.6640625" style="376"/>
    <col min="4097" max="4097" width="60.1640625" style="376" customWidth="1"/>
    <col min="4098" max="4098" width="48.83203125" style="376" customWidth="1"/>
    <col min="4099" max="4099" width="16.5" style="376" bestFit="1" customWidth="1"/>
    <col min="4100" max="4100" width="15" style="376" customWidth="1"/>
    <col min="4101" max="4352" width="10.6640625" style="376"/>
    <col min="4353" max="4353" width="60.1640625" style="376" customWidth="1"/>
    <col min="4354" max="4354" width="48.83203125" style="376" customWidth="1"/>
    <col min="4355" max="4355" width="16.5" style="376" bestFit="1" customWidth="1"/>
    <col min="4356" max="4356" width="15" style="376" customWidth="1"/>
    <col min="4357" max="4608" width="10.6640625" style="376"/>
    <col min="4609" max="4609" width="60.1640625" style="376" customWidth="1"/>
    <col min="4610" max="4610" width="48.83203125" style="376" customWidth="1"/>
    <col min="4611" max="4611" width="16.5" style="376" bestFit="1" customWidth="1"/>
    <col min="4612" max="4612" width="15" style="376" customWidth="1"/>
    <col min="4613" max="4864" width="10.6640625" style="376"/>
    <col min="4865" max="4865" width="60.1640625" style="376" customWidth="1"/>
    <col min="4866" max="4866" width="48.83203125" style="376" customWidth="1"/>
    <col min="4867" max="4867" width="16.5" style="376" bestFit="1" customWidth="1"/>
    <col min="4868" max="4868" width="15" style="376" customWidth="1"/>
    <col min="4869" max="5120" width="10.6640625" style="376"/>
    <col min="5121" max="5121" width="60.1640625" style="376" customWidth="1"/>
    <col min="5122" max="5122" width="48.83203125" style="376" customWidth="1"/>
    <col min="5123" max="5123" width="16.5" style="376" bestFit="1" customWidth="1"/>
    <col min="5124" max="5124" width="15" style="376" customWidth="1"/>
    <col min="5125" max="5376" width="10.6640625" style="376"/>
    <col min="5377" max="5377" width="60.1640625" style="376" customWidth="1"/>
    <col min="5378" max="5378" width="48.83203125" style="376" customWidth="1"/>
    <col min="5379" max="5379" width="16.5" style="376" bestFit="1" customWidth="1"/>
    <col min="5380" max="5380" width="15" style="376" customWidth="1"/>
    <col min="5381" max="5632" width="10.6640625" style="376"/>
    <col min="5633" max="5633" width="60.1640625" style="376" customWidth="1"/>
    <col min="5634" max="5634" width="48.83203125" style="376" customWidth="1"/>
    <col min="5635" max="5635" width="16.5" style="376" bestFit="1" customWidth="1"/>
    <col min="5636" max="5636" width="15" style="376" customWidth="1"/>
    <col min="5637" max="5888" width="10.6640625" style="376"/>
    <col min="5889" max="5889" width="60.1640625" style="376" customWidth="1"/>
    <col min="5890" max="5890" width="48.83203125" style="376" customWidth="1"/>
    <col min="5891" max="5891" width="16.5" style="376" bestFit="1" customWidth="1"/>
    <col min="5892" max="5892" width="15" style="376" customWidth="1"/>
    <col min="5893" max="6144" width="10.6640625" style="376"/>
    <col min="6145" max="6145" width="60.1640625" style="376" customWidth="1"/>
    <col min="6146" max="6146" width="48.83203125" style="376" customWidth="1"/>
    <col min="6147" max="6147" width="16.5" style="376" bestFit="1" customWidth="1"/>
    <col min="6148" max="6148" width="15" style="376" customWidth="1"/>
    <col min="6149" max="6400" width="10.6640625" style="376"/>
    <col min="6401" max="6401" width="60.1640625" style="376" customWidth="1"/>
    <col min="6402" max="6402" width="48.83203125" style="376" customWidth="1"/>
    <col min="6403" max="6403" width="16.5" style="376" bestFit="1" customWidth="1"/>
    <col min="6404" max="6404" width="15" style="376" customWidth="1"/>
    <col min="6405" max="6656" width="10.6640625" style="376"/>
    <col min="6657" max="6657" width="60.1640625" style="376" customWidth="1"/>
    <col min="6658" max="6658" width="48.83203125" style="376" customWidth="1"/>
    <col min="6659" max="6659" width="16.5" style="376" bestFit="1" customWidth="1"/>
    <col min="6660" max="6660" width="15" style="376" customWidth="1"/>
    <col min="6661" max="6912" width="10.6640625" style="376"/>
    <col min="6913" max="6913" width="60.1640625" style="376" customWidth="1"/>
    <col min="6914" max="6914" width="48.83203125" style="376" customWidth="1"/>
    <col min="6915" max="6915" width="16.5" style="376" bestFit="1" customWidth="1"/>
    <col min="6916" max="6916" width="15" style="376" customWidth="1"/>
    <col min="6917" max="7168" width="10.6640625" style="376"/>
    <col min="7169" max="7169" width="60.1640625" style="376" customWidth="1"/>
    <col min="7170" max="7170" width="48.83203125" style="376" customWidth="1"/>
    <col min="7171" max="7171" width="16.5" style="376" bestFit="1" customWidth="1"/>
    <col min="7172" max="7172" width="15" style="376" customWidth="1"/>
    <col min="7173" max="7424" width="10.6640625" style="376"/>
    <col min="7425" max="7425" width="60.1640625" style="376" customWidth="1"/>
    <col min="7426" max="7426" width="48.83203125" style="376" customWidth="1"/>
    <col min="7427" max="7427" width="16.5" style="376" bestFit="1" customWidth="1"/>
    <col min="7428" max="7428" width="15" style="376" customWidth="1"/>
    <col min="7429" max="7680" width="10.6640625" style="376"/>
    <col min="7681" max="7681" width="60.1640625" style="376" customWidth="1"/>
    <col min="7682" max="7682" width="48.83203125" style="376" customWidth="1"/>
    <col min="7683" max="7683" width="16.5" style="376" bestFit="1" customWidth="1"/>
    <col min="7684" max="7684" width="15" style="376" customWidth="1"/>
    <col min="7685" max="7936" width="10.6640625" style="376"/>
    <col min="7937" max="7937" width="60.1640625" style="376" customWidth="1"/>
    <col min="7938" max="7938" width="48.83203125" style="376" customWidth="1"/>
    <col min="7939" max="7939" width="16.5" style="376" bestFit="1" customWidth="1"/>
    <col min="7940" max="7940" width="15" style="376" customWidth="1"/>
    <col min="7941" max="8192" width="10.6640625" style="376"/>
    <col min="8193" max="8193" width="60.1640625" style="376" customWidth="1"/>
    <col min="8194" max="8194" width="48.83203125" style="376" customWidth="1"/>
    <col min="8195" max="8195" width="16.5" style="376" bestFit="1" customWidth="1"/>
    <col min="8196" max="8196" width="15" style="376" customWidth="1"/>
    <col min="8197" max="8448" width="10.6640625" style="376"/>
    <col min="8449" max="8449" width="60.1640625" style="376" customWidth="1"/>
    <col min="8450" max="8450" width="48.83203125" style="376" customWidth="1"/>
    <col min="8451" max="8451" width="16.5" style="376" bestFit="1" customWidth="1"/>
    <col min="8452" max="8452" width="15" style="376" customWidth="1"/>
    <col min="8453" max="8704" width="10.6640625" style="376"/>
    <col min="8705" max="8705" width="60.1640625" style="376" customWidth="1"/>
    <col min="8706" max="8706" width="48.83203125" style="376" customWidth="1"/>
    <col min="8707" max="8707" width="16.5" style="376" bestFit="1" customWidth="1"/>
    <col min="8708" max="8708" width="15" style="376" customWidth="1"/>
    <col min="8709" max="8960" width="10.6640625" style="376"/>
    <col min="8961" max="8961" width="60.1640625" style="376" customWidth="1"/>
    <col min="8962" max="8962" width="48.83203125" style="376" customWidth="1"/>
    <col min="8963" max="8963" width="16.5" style="376" bestFit="1" customWidth="1"/>
    <col min="8964" max="8964" width="15" style="376" customWidth="1"/>
    <col min="8965" max="9216" width="10.6640625" style="376"/>
    <col min="9217" max="9217" width="60.1640625" style="376" customWidth="1"/>
    <col min="9218" max="9218" width="48.83203125" style="376" customWidth="1"/>
    <col min="9219" max="9219" width="16.5" style="376" bestFit="1" customWidth="1"/>
    <col min="9220" max="9220" width="15" style="376" customWidth="1"/>
    <col min="9221" max="9472" width="10.6640625" style="376"/>
    <col min="9473" max="9473" width="60.1640625" style="376" customWidth="1"/>
    <col min="9474" max="9474" width="48.83203125" style="376" customWidth="1"/>
    <col min="9475" max="9475" width="16.5" style="376" bestFit="1" customWidth="1"/>
    <col min="9476" max="9476" width="15" style="376" customWidth="1"/>
    <col min="9477" max="9728" width="10.6640625" style="376"/>
    <col min="9729" max="9729" width="60.1640625" style="376" customWidth="1"/>
    <col min="9730" max="9730" width="48.83203125" style="376" customWidth="1"/>
    <col min="9731" max="9731" width="16.5" style="376" bestFit="1" customWidth="1"/>
    <col min="9732" max="9732" width="15" style="376" customWidth="1"/>
    <col min="9733" max="9984" width="10.6640625" style="376"/>
    <col min="9985" max="9985" width="60.1640625" style="376" customWidth="1"/>
    <col min="9986" max="9986" width="48.83203125" style="376" customWidth="1"/>
    <col min="9987" max="9987" width="16.5" style="376" bestFit="1" customWidth="1"/>
    <col min="9988" max="9988" width="15" style="376" customWidth="1"/>
    <col min="9989" max="10240" width="10.6640625" style="376"/>
    <col min="10241" max="10241" width="60.1640625" style="376" customWidth="1"/>
    <col min="10242" max="10242" width="48.83203125" style="376" customWidth="1"/>
    <col min="10243" max="10243" width="16.5" style="376" bestFit="1" customWidth="1"/>
    <col min="10244" max="10244" width="15" style="376" customWidth="1"/>
    <col min="10245" max="10496" width="10.6640625" style="376"/>
    <col min="10497" max="10497" width="60.1640625" style="376" customWidth="1"/>
    <col min="10498" max="10498" width="48.83203125" style="376" customWidth="1"/>
    <col min="10499" max="10499" width="16.5" style="376" bestFit="1" customWidth="1"/>
    <col min="10500" max="10500" width="15" style="376" customWidth="1"/>
    <col min="10501" max="10752" width="10.6640625" style="376"/>
    <col min="10753" max="10753" width="60.1640625" style="376" customWidth="1"/>
    <col min="10754" max="10754" width="48.83203125" style="376" customWidth="1"/>
    <col min="10755" max="10755" width="16.5" style="376" bestFit="1" customWidth="1"/>
    <col min="10756" max="10756" width="15" style="376" customWidth="1"/>
    <col min="10757" max="11008" width="10.6640625" style="376"/>
    <col min="11009" max="11009" width="60.1640625" style="376" customWidth="1"/>
    <col min="11010" max="11010" width="48.83203125" style="376" customWidth="1"/>
    <col min="11011" max="11011" width="16.5" style="376" bestFit="1" customWidth="1"/>
    <col min="11012" max="11012" width="15" style="376" customWidth="1"/>
    <col min="11013" max="11264" width="10.6640625" style="376"/>
    <col min="11265" max="11265" width="60.1640625" style="376" customWidth="1"/>
    <col min="11266" max="11266" width="48.83203125" style="376" customWidth="1"/>
    <col min="11267" max="11267" width="16.5" style="376" bestFit="1" customWidth="1"/>
    <col min="11268" max="11268" width="15" style="376" customWidth="1"/>
    <col min="11269" max="11520" width="10.6640625" style="376"/>
    <col min="11521" max="11521" width="60.1640625" style="376" customWidth="1"/>
    <col min="11522" max="11522" width="48.83203125" style="376" customWidth="1"/>
    <col min="11523" max="11523" width="16.5" style="376" bestFit="1" customWidth="1"/>
    <col min="11524" max="11524" width="15" style="376" customWidth="1"/>
    <col min="11525" max="11776" width="10.6640625" style="376"/>
    <col min="11777" max="11777" width="60.1640625" style="376" customWidth="1"/>
    <col min="11778" max="11778" width="48.83203125" style="376" customWidth="1"/>
    <col min="11779" max="11779" width="16.5" style="376" bestFit="1" customWidth="1"/>
    <col min="11780" max="11780" width="15" style="376" customWidth="1"/>
    <col min="11781" max="12032" width="10.6640625" style="376"/>
    <col min="12033" max="12033" width="60.1640625" style="376" customWidth="1"/>
    <col min="12034" max="12034" width="48.83203125" style="376" customWidth="1"/>
    <col min="12035" max="12035" width="16.5" style="376" bestFit="1" customWidth="1"/>
    <col min="12036" max="12036" width="15" style="376" customWidth="1"/>
    <col min="12037" max="12288" width="10.6640625" style="376"/>
    <col min="12289" max="12289" width="60.1640625" style="376" customWidth="1"/>
    <col min="12290" max="12290" width="48.83203125" style="376" customWidth="1"/>
    <col min="12291" max="12291" width="16.5" style="376" bestFit="1" customWidth="1"/>
    <col min="12292" max="12292" width="15" style="376" customWidth="1"/>
    <col min="12293" max="12544" width="10.6640625" style="376"/>
    <col min="12545" max="12545" width="60.1640625" style="376" customWidth="1"/>
    <col min="12546" max="12546" width="48.83203125" style="376" customWidth="1"/>
    <col min="12547" max="12547" width="16.5" style="376" bestFit="1" customWidth="1"/>
    <col min="12548" max="12548" width="15" style="376" customWidth="1"/>
    <col min="12549" max="12800" width="10.6640625" style="376"/>
    <col min="12801" max="12801" width="60.1640625" style="376" customWidth="1"/>
    <col min="12802" max="12802" width="48.83203125" style="376" customWidth="1"/>
    <col min="12803" max="12803" width="16.5" style="376" bestFit="1" customWidth="1"/>
    <col min="12804" max="12804" width="15" style="376" customWidth="1"/>
    <col min="12805" max="13056" width="10.6640625" style="376"/>
    <col min="13057" max="13057" width="60.1640625" style="376" customWidth="1"/>
    <col min="13058" max="13058" width="48.83203125" style="376" customWidth="1"/>
    <col min="13059" max="13059" width="16.5" style="376" bestFit="1" customWidth="1"/>
    <col min="13060" max="13060" width="15" style="376" customWidth="1"/>
    <col min="13061" max="13312" width="10.6640625" style="376"/>
    <col min="13313" max="13313" width="60.1640625" style="376" customWidth="1"/>
    <col min="13314" max="13314" width="48.83203125" style="376" customWidth="1"/>
    <col min="13315" max="13315" width="16.5" style="376" bestFit="1" customWidth="1"/>
    <col min="13316" max="13316" width="15" style="376" customWidth="1"/>
    <col min="13317" max="13568" width="10.6640625" style="376"/>
    <col min="13569" max="13569" width="60.1640625" style="376" customWidth="1"/>
    <col min="13570" max="13570" width="48.83203125" style="376" customWidth="1"/>
    <col min="13571" max="13571" width="16.5" style="376" bestFit="1" customWidth="1"/>
    <col min="13572" max="13572" width="15" style="376" customWidth="1"/>
    <col min="13573" max="13824" width="10.6640625" style="376"/>
    <col min="13825" max="13825" width="60.1640625" style="376" customWidth="1"/>
    <col min="13826" max="13826" width="48.83203125" style="376" customWidth="1"/>
    <col min="13827" max="13827" width="16.5" style="376" bestFit="1" customWidth="1"/>
    <col min="13828" max="13828" width="15" style="376" customWidth="1"/>
    <col min="13829" max="14080" width="10.6640625" style="376"/>
    <col min="14081" max="14081" width="60.1640625" style="376" customWidth="1"/>
    <col min="14082" max="14082" width="48.83203125" style="376" customWidth="1"/>
    <col min="14083" max="14083" width="16.5" style="376" bestFit="1" customWidth="1"/>
    <col min="14084" max="14084" width="15" style="376" customWidth="1"/>
    <col min="14085" max="14336" width="10.6640625" style="376"/>
    <col min="14337" max="14337" width="60.1640625" style="376" customWidth="1"/>
    <col min="14338" max="14338" width="48.83203125" style="376" customWidth="1"/>
    <col min="14339" max="14339" width="16.5" style="376" bestFit="1" customWidth="1"/>
    <col min="14340" max="14340" width="15" style="376" customWidth="1"/>
    <col min="14341" max="14592" width="10.6640625" style="376"/>
    <col min="14593" max="14593" width="60.1640625" style="376" customWidth="1"/>
    <col min="14594" max="14594" width="48.83203125" style="376" customWidth="1"/>
    <col min="14595" max="14595" width="16.5" style="376" bestFit="1" customWidth="1"/>
    <col min="14596" max="14596" width="15" style="376" customWidth="1"/>
    <col min="14597" max="14848" width="10.6640625" style="376"/>
    <col min="14849" max="14849" width="60.1640625" style="376" customWidth="1"/>
    <col min="14850" max="14850" width="48.83203125" style="376" customWidth="1"/>
    <col min="14851" max="14851" width="16.5" style="376" bestFit="1" customWidth="1"/>
    <col min="14852" max="14852" width="15" style="376" customWidth="1"/>
    <col min="14853" max="15104" width="10.6640625" style="376"/>
    <col min="15105" max="15105" width="60.1640625" style="376" customWidth="1"/>
    <col min="15106" max="15106" width="48.83203125" style="376" customWidth="1"/>
    <col min="15107" max="15107" width="16.5" style="376" bestFit="1" customWidth="1"/>
    <col min="15108" max="15108" width="15" style="376" customWidth="1"/>
    <col min="15109" max="15360" width="10.6640625" style="376"/>
    <col min="15361" max="15361" width="60.1640625" style="376" customWidth="1"/>
    <col min="15362" max="15362" width="48.83203125" style="376" customWidth="1"/>
    <col min="15363" max="15363" width="16.5" style="376" bestFit="1" customWidth="1"/>
    <col min="15364" max="15364" width="15" style="376" customWidth="1"/>
    <col min="15365" max="15616" width="10.6640625" style="376"/>
    <col min="15617" max="15617" width="60.1640625" style="376" customWidth="1"/>
    <col min="15618" max="15618" width="48.83203125" style="376" customWidth="1"/>
    <col min="15619" max="15619" width="16.5" style="376" bestFit="1" customWidth="1"/>
    <col min="15620" max="15620" width="15" style="376" customWidth="1"/>
    <col min="15621" max="15872" width="10.6640625" style="376"/>
    <col min="15873" max="15873" width="60.1640625" style="376" customWidth="1"/>
    <col min="15874" max="15874" width="48.83203125" style="376" customWidth="1"/>
    <col min="15875" max="15875" width="16.5" style="376" bestFit="1" customWidth="1"/>
    <col min="15876" max="15876" width="15" style="376" customWidth="1"/>
    <col min="15877" max="16128" width="10.6640625" style="376"/>
    <col min="16129" max="16129" width="60.1640625" style="376" customWidth="1"/>
    <col min="16130" max="16130" width="48.83203125" style="376" customWidth="1"/>
    <col min="16131" max="16131" width="16.5" style="376" bestFit="1" customWidth="1"/>
    <col min="16132" max="16132" width="15" style="376" customWidth="1"/>
    <col min="16133" max="16384" width="10.6640625" style="376"/>
  </cols>
  <sheetData>
    <row r="1" spans="1:2" x14ac:dyDescent="0.2">
      <c r="A1" s="1247"/>
      <c r="B1" s="1247"/>
    </row>
    <row r="2" spans="1:2" ht="17.25" customHeight="1" x14ac:dyDescent="0.2">
      <c r="A2" s="377"/>
      <c r="B2" s="406"/>
    </row>
    <row r="3" spans="1:2" ht="42" customHeight="1" x14ac:dyDescent="0.2">
      <c r="A3" s="1248" t="s">
        <v>746</v>
      </c>
      <c r="B3" s="1248"/>
    </row>
    <row r="4" spans="1:2" ht="33" customHeight="1" thickBot="1" x14ac:dyDescent="0.3">
      <c r="A4" s="378"/>
      <c r="B4" s="300" t="s">
        <v>26</v>
      </c>
    </row>
    <row r="5" spans="1:2" x14ac:dyDescent="0.2">
      <c r="A5" s="1249" t="s">
        <v>76</v>
      </c>
      <c r="B5" s="1249" t="s">
        <v>747</v>
      </c>
    </row>
    <row r="6" spans="1:2" x14ac:dyDescent="0.2">
      <c r="A6" s="1250"/>
      <c r="B6" s="1250"/>
    </row>
    <row r="7" spans="1:2" ht="13.5" thickBot="1" x14ac:dyDescent="0.25">
      <c r="A7" s="1250"/>
      <c r="B7" s="1251"/>
    </row>
    <row r="8" spans="1:2" ht="23.25" customHeight="1" thickBot="1" x14ac:dyDescent="0.25">
      <c r="A8" s="227" t="s">
        <v>65</v>
      </c>
      <c r="B8" s="379"/>
    </row>
    <row r="9" spans="1:2" ht="24" customHeight="1" x14ac:dyDescent="0.2">
      <c r="A9" s="494"/>
      <c r="B9" s="491"/>
    </row>
    <row r="10" spans="1:2" ht="27" customHeight="1" x14ac:dyDescent="0.25">
      <c r="A10" s="1052" t="s">
        <v>475</v>
      </c>
      <c r="B10" s="492">
        <v>149537000</v>
      </c>
    </row>
    <row r="11" spans="1:2" ht="39" customHeight="1" x14ac:dyDescent="0.25">
      <c r="A11" s="1051" t="s">
        <v>476</v>
      </c>
      <c r="B11" s="909">
        <v>76270223</v>
      </c>
    </row>
    <row r="12" spans="1:2" ht="39" customHeight="1" x14ac:dyDescent="0.25">
      <c r="A12" s="842" t="s">
        <v>477</v>
      </c>
      <c r="B12" s="909">
        <v>17077340</v>
      </c>
    </row>
    <row r="13" spans="1:2" ht="39" customHeight="1" x14ac:dyDescent="0.25">
      <c r="A13" s="842" t="s">
        <v>478</v>
      </c>
      <c r="B13" s="909">
        <v>35400000</v>
      </c>
    </row>
    <row r="14" spans="1:2" ht="39" customHeight="1" x14ac:dyDescent="0.25">
      <c r="A14" s="842" t="s">
        <v>479</v>
      </c>
      <c r="B14" s="909">
        <v>100000</v>
      </c>
    </row>
    <row r="15" spans="1:2" ht="39" customHeight="1" x14ac:dyDescent="0.25">
      <c r="A15" s="842" t="s">
        <v>480</v>
      </c>
      <c r="B15" s="909">
        <v>20759150</v>
      </c>
    </row>
    <row r="16" spans="1:2" ht="39" customHeight="1" x14ac:dyDescent="0.25">
      <c r="A16" s="842" t="s">
        <v>481</v>
      </c>
      <c r="B16" s="909">
        <v>2793483</v>
      </c>
    </row>
    <row r="17" spans="1:3" ht="39" customHeight="1" x14ac:dyDescent="0.25">
      <c r="A17" s="842" t="s">
        <v>490</v>
      </c>
      <c r="B17" s="909">
        <v>140250</v>
      </c>
    </row>
    <row r="18" spans="1:3" ht="39" customHeight="1" x14ac:dyDescent="0.3">
      <c r="A18" s="1051" t="s">
        <v>638</v>
      </c>
      <c r="B18" s="910">
        <f>SUM(B10:B11)</f>
        <v>225807223</v>
      </c>
    </row>
    <row r="19" spans="1:3" ht="39" customHeight="1" x14ac:dyDescent="0.3">
      <c r="A19" s="842" t="s">
        <v>748</v>
      </c>
      <c r="B19" s="911">
        <v>0</v>
      </c>
    </row>
    <row r="20" spans="1:3" ht="39" customHeight="1" x14ac:dyDescent="0.25">
      <c r="A20" s="842" t="s">
        <v>749</v>
      </c>
      <c r="B20" s="909">
        <v>2048700</v>
      </c>
    </row>
    <row r="21" spans="1:3" ht="39" customHeight="1" x14ac:dyDescent="0.3">
      <c r="A21" s="495" t="s">
        <v>661</v>
      </c>
      <c r="B21" s="910">
        <f>SUM(B18:B20)</f>
        <v>227855923</v>
      </c>
    </row>
    <row r="22" spans="1:3" ht="36" customHeight="1" x14ac:dyDescent="0.25">
      <c r="A22" s="843" t="s">
        <v>482</v>
      </c>
      <c r="B22" s="909">
        <v>185945400</v>
      </c>
    </row>
    <row r="23" spans="1:3" ht="30.75" customHeight="1" x14ac:dyDescent="0.25">
      <c r="A23" s="844" t="s">
        <v>483</v>
      </c>
      <c r="B23" s="909">
        <v>29847734</v>
      </c>
    </row>
    <row r="24" spans="1:3" ht="30.75" customHeight="1" x14ac:dyDescent="0.25">
      <c r="A24" s="843" t="s">
        <v>750</v>
      </c>
      <c r="B24" s="909">
        <v>0</v>
      </c>
    </row>
    <row r="25" spans="1:3" ht="30.75" customHeight="1" x14ac:dyDescent="0.25">
      <c r="A25" s="843" t="s">
        <v>751</v>
      </c>
      <c r="B25" s="909">
        <v>8941000</v>
      </c>
    </row>
    <row r="26" spans="1:3" ht="31.5" customHeight="1" x14ac:dyDescent="0.3">
      <c r="A26" s="425" t="s">
        <v>484</v>
      </c>
      <c r="B26" s="910">
        <f>SUM(B22:B25)</f>
        <v>224734134</v>
      </c>
    </row>
    <row r="27" spans="1:3" ht="31.5" customHeight="1" x14ac:dyDescent="0.25">
      <c r="A27" s="496" t="s">
        <v>639</v>
      </c>
      <c r="B27" s="909">
        <v>126991000</v>
      </c>
    </row>
    <row r="28" spans="1:3" ht="28.5" customHeight="1" x14ac:dyDescent="0.25">
      <c r="A28" s="497" t="s">
        <v>485</v>
      </c>
      <c r="B28" s="909">
        <v>65060600</v>
      </c>
    </row>
    <row r="29" spans="1:3" ht="60" customHeight="1" x14ac:dyDescent="0.25">
      <c r="A29" s="912" t="s">
        <v>660</v>
      </c>
      <c r="B29" s="909">
        <v>119410000</v>
      </c>
      <c r="C29" s="380"/>
    </row>
    <row r="30" spans="1:3" ht="23.25" customHeight="1" x14ac:dyDescent="0.25">
      <c r="A30" s="1053" t="s">
        <v>857</v>
      </c>
      <c r="B30" s="909">
        <v>53048000</v>
      </c>
    </row>
    <row r="31" spans="1:3" ht="20.25" customHeight="1" x14ac:dyDescent="0.25">
      <c r="A31" s="497" t="s">
        <v>486</v>
      </c>
      <c r="B31" s="909">
        <v>85612285</v>
      </c>
    </row>
    <row r="32" spans="1:3" ht="26.25" customHeight="1" x14ac:dyDescent="0.25">
      <c r="A32" s="436" t="s">
        <v>10</v>
      </c>
      <c r="B32" s="909">
        <v>53749860</v>
      </c>
    </row>
    <row r="33" spans="1:3" ht="26.25" customHeight="1" x14ac:dyDescent="0.25">
      <c r="A33" s="436" t="s">
        <v>752</v>
      </c>
      <c r="B33" s="909">
        <v>17676000</v>
      </c>
    </row>
    <row r="34" spans="1:3" ht="26.25" customHeight="1" x14ac:dyDescent="0.25">
      <c r="A34" s="436" t="s">
        <v>753</v>
      </c>
      <c r="B34" s="909">
        <v>36514600</v>
      </c>
    </row>
    <row r="35" spans="1:3" ht="26.25" customHeight="1" x14ac:dyDescent="0.25">
      <c r="A35" s="436" t="s">
        <v>754</v>
      </c>
      <c r="B35" s="909">
        <v>7902000</v>
      </c>
    </row>
    <row r="36" spans="1:3" ht="34.5" customHeight="1" x14ac:dyDescent="0.3">
      <c r="A36" s="425" t="s">
        <v>487</v>
      </c>
      <c r="B36" s="910">
        <f>SUM(B27:B35)</f>
        <v>565964345</v>
      </c>
      <c r="C36" s="407"/>
    </row>
    <row r="37" spans="1:3" ht="27.75" customHeight="1" x14ac:dyDescent="0.3">
      <c r="A37" s="1050" t="s">
        <v>488</v>
      </c>
      <c r="B37" s="913">
        <f>B38+B39</f>
        <v>28744040</v>
      </c>
    </row>
    <row r="38" spans="1:3" ht="30" customHeight="1" x14ac:dyDescent="0.25">
      <c r="A38" s="436" t="s">
        <v>489</v>
      </c>
      <c r="B38" s="914">
        <v>12622000</v>
      </c>
    </row>
    <row r="39" spans="1:3" ht="30" customHeight="1" x14ac:dyDescent="0.25">
      <c r="A39" s="436" t="s">
        <v>11</v>
      </c>
      <c r="B39" s="914">
        <v>16122040</v>
      </c>
    </row>
    <row r="40" spans="1:3" ht="30" customHeight="1" x14ac:dyDescent="0.25">
      <c r="A40" s="489" t="s">
        <v>860</v>
      </c>
      <c r="B40" s="909">
        <f>4545780</f>
        <v>4545780</v>
      </c>
    </row>
    <row r="41" spans="1:3" ht="30" customHeight="1" x14ac:dyDescent="0.25">
      <c r="A41" s="489" t="s">
        <v>858</v>
      </c>
      <c r="B41" s="909">
        <f>4848800+945516</f>
        <v>5794316</v>
      </c>
    </row>
    <row r="42" spans="1:3" ht="30" customHeight="1" x14ac:dyDescent="0.25">
      <c r="A42" s="436" t="s">
        <v>861</v>
      </c>
      <c r="B42" s="914">
        <v>56020415</v>
      </c>
    </row>
    <row r="43" spans="1:3" ht="31.5" customHeight="1" x14ac:dyDescent="0.2">
      <c r="A43" s="490" t="s">
        <v>859</v>
      </c>
      <c r="B43" s="493">
        <f>5914790</f>
        <v>5914790</v>
      </c>
    </row>
    <row r="44" spans="1:3" ht="31.5" customHeight="1" thickBot="1" x14ac:dyDescent="0.25">
      <c r="A44" s="915" t="s">
        <v>862</v>
      </c>
      <c r="B44" s="493">
        <v>7776398</v>
      </c>
    </row>
    <row r="45" spans="1:3" ht="19.5" thickBot="1" x14ac:dyDescent="0.35">
      <c r="A45" s="916" t="s">
        <v>66</v>
      </c>
      <c r="B45" s="1054">
        <f>SUM(B37+B36+B26+B21+B40+B41+B42+B43)+B44</f>
        <v>1127350141</v>
      </c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55" orientation="portrait" r:id="rId1"/>
  <headerFooter alignWithMargins="0">
    <oddHeader>&amp;R5. sz. tájékoztató tábla a ../...(.....)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29"/>
  <sheetViews>
    <sheetView view="pageLayout" zoomScaleNormal="85" workbookViewId="0">
      <selection activeCell="G4" sqref="G4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252" t="s">
        <v>896</v>
      </c>
      <c r="B1" s="1252"/>
      <c r="C1" s="1252"/>
      <c r="D1" s="1252"/>
    </row>
    <row r="2" spans="1:6" ht="17.25" customHeight="1" x14ac:dyDescent="0.25">
      <c r="A2" s="755"/>
      <c r="B2" s="755"/>
      <c r="C2" s="755"/>
      <c r="D2" s="755"/>
    </row>
    <row r="3" spans="1:6" ht="13.5" thickBot="1" x14ac:dyDescent="0.25">
      <c r="A3" s="156"/>
      <c r="B3" s="156"/>
      <c r="C3" s="1253" t="s">
        <v>692</v>
      </c>
      <c r="D3" s="1253"/>
    </row>
    <row r="4" spans="1:6" ht="42.75" customHeight="1" thickBot="1" x14ac:dyDescent="0.25">
      <c r="A4" s="301" t="s">
        <v>84</v>
      </c>
      <c r="B4" s="302" t="s">
        <v>141</v>
      </c>
      <c r="C4" s="302" t="s">
        <v>142</v>
      </c>
      <c r="D4" s="303" t="s">
        <v>27</v>
      </c>
    </row>
    <row r="5" spans="1:6" ht="15.95" customHeight="1" x14ac:dyDescent="0.2">
      <c r="A5" s="157" t="s">
        <v>31</v>
      </c>
      <c r="B5" s="26" t="s">
        <v>491</v>
      </c>
      <c r="C5" s="381" t="s">
        <v>492</v>
      </c>
      <c r="D5" s="27">
        <v>5000000</v>
      </c>
      <c r="E5" s="43"/>
      <c r="F5" s="43"/>
    </row>
    <row r="6" spans="1:6" ht="15.95" customHeight="1" x14ac:dyDescent="0.2">
      <c r="A6" s="157" t="s">
        <v>32</v>
      </c>
      <c r="B6" s="28" t="s">
        <v>493</v>
      </c>
      <c r="C6" s="30" t="s">
        <v>492</v>
      </c>
      <c r="D6" s="29">
        <v>1500000</v>
      </c>
      <c r="E6" s="43"/>
      <c r="F6" s="43"/>
    </row>
    <row r="7" spans="1:6" ht="15.95" customHeight="1" x14ac:dyDescent="0.2">
      <c r="A7" s="157" t="s">
        <v>33</v>
      </c>
      <c r="B7" s="28" t="s">
        <v>494</v>
      </c>
      <c r="C7" s="30" t="s">
        <v>492</v>
      </c>
      <c r="D7" s="29">
        <v>500000</v>
      </c>
      <c r="E7" s="43"/>
      <c r="F7" s="43"/>
    </row>
    <row r="8" spans="1:6" ht="15.95" customHeight="1" x14ac:dyDescent="0.2">
      <c r="A8" s="157" t="s">
        <v>34</v>
      </c>
      <c r="B8" s="28" t="s">
        <v>495</v>
      </c>
      <c r="C8" s="28" t="s">
        <v>492</v>
      </c>
      <c r="D8" s="29">
        <v>4000000</v>
      </c>
      <c r="E8" s="43"/>
      <c r="F8" s="43"/>
    </row>
    <row r="9" spans="1:6" ht="15.95" customHeight="1" x14ac:dyDescent="0.2">
      <c r="A9" s="157" t="s">
        <v>35</v>
      </c>
      <c r="B9" s="28" t="s">
        <v>496</v>
      </c>
      <c r="C9" s="383" t="s">
        <v>492</v>
      </c>
      <c r="D9" s="29">
        <v>200000</v>
      </c>
      <c r="E9" s="43"/>
      <c r="F9" s="43"/>
    </row>
    <row r="10" spans="1:6" ht="15.95" customHeight="1" x14ac:dyDescent="0.2">
      <c r="A10" s="157" t="s">
        <v>36</v>
      </c>
      <c r="B10" s="28" t="s">
        <v>497</v>
      </c>
      <c r="C10" s="28" t="s">
        <v>492</v>
      </c>
      <c r="D10" s="29">
        <v>800000</v>
      </c>
      <c r="E10" s="43"/>
      <c r="F10" s="43"/>
    </row>
    <row r="11" spans="1:6" ht="15.95" customHeight="1" x14ac:dyDescent="0.2">
      <c r="A11" s="157" t="s">
        <v>37</v>
      </c>
      <c r="B11" s="28" t="s">
        <v>498</v>
      </c>
      <c r="C11" s="382" t="s">
        <v>492</v>
      </c>
      <c r="D11" s="29">
        <v>100000</v>
      </c>
      <c r="E11" s="43"/>
      <c r="F11" s="43"/>
    </row>
    <row r="12" spans="1:6" ht="15.95" customHeight="1" x14ac:dyDescent="0.2">
      <c r="A12" s="157" t="s">
        <v>38</v>
      </c>
      <c r="B12" s="28" t="s">
        <v>499</v>
      </c>
      <c r="C12" s="382" t="s">
        <v>492</v>
      </c>
      <c r="D12" s="29">
        <v>50000</v>
      </c>
      <c r="E12" s="43"/>
      <c r="F12" s="43"/>
    </row>
    <row r="13" spans="1:6" ht="15.95" customHeight="1" x14ac:dyDescent="0.2">
      <c r="A13" s="157" t="s">
        <v>39</v>
      </c>
      <c r="B13" s="28" t="s">
        <v>892</v>
      </c>
      <c r="C13" s="28" t="s">
        <v>500</v>
      </c>
      <c r="D13" s="29">
        <v>34286575</v>
      </c>
      <c r="E13" s="43"/>
      <c r="F13" s="43"/>
    </row>
    <row r="14" spans="1:6" ht="15.95" customHeight="1" x14ac:dyDescent="0.2">
      <c r="A14" s="157" t="s">
        <v>40</v>
      </c>
      <c r="B14" s="28" t="s">
        <v>893</v>
      </c>
      <c r="C14" s="28" t="s">
        <v>500</v>
      </c>
      <c r="D14" s="29">
        <v>3094850</v>
      </c>
      <c r="E14" s="43"/>
      <c r="F14" s="43"/>
    </row>
    <row r="15" spans="1:6" ht="15.95" customHeight="1" x14ac:dyDescent="0.2">
      <c r="A15" s="157"/>
      <c r="B15" s="28" t="s">
        <v>894</v>
      </c>
      <c r="C15" s="28" t="s">
        <v>500</v>
      </c>
      <c r="D15" s="29">
        <v>17119005</v>
      </c>
      <c r="E15" s="43"/>
      <c r="F15" s="43"/>
    </row>
    <row r="16" spans="1:6" ht="15.95" customHeight="1" x14ac:dyDescent="0.2">
      <c r="A16" s="157"/>
      <c r="B16" s="28" t="s">
        <v>893</v>
      </c>
      <c r="C16" s="28" t="s">
        <v>500</v>
      </c>
      <c r="D16" s="29">
        <v>1988342</v>
      </c>
      <c r="E16" s="43"/>
      <c r="F16" s="43"/>
    </row>
    <row r="17" spans="1:6" ht="15.95" customHeight="1" x14ac:dyDescent="0.2">
      <c r="A17" s="157"/>
      <c r="B17" s="28" t="s">
        <v>895</v>
      </c>
      <c r="C17" s="28" t="s">
        <v>500</v>
      </c>
      <c r="D17" s="29">
        <v>9221949</v>
      </c>
      <c r="E17" s="43"/>
      <c r="F17" s="43"/>
    </row>
    <row r="18" spans="1:6" ht="15.95" customHeight="1" x14ac:dyDescent="0.2">
      <c r="A18" s="157" t="s">
        <v>41</v>
      </c>
      <c r="B18" s="28" t="s">
        <v>543</v>
      </c>
      <c r="C18" s="28" t="s">
        <v>492</v>
      </c>
      <c r="D18" s="29">
        <v>10141218</v>
      </c>
      <c r="E18" s="43"/>
      <c r="F18" s="43"/>
    </row>
    <row r="19" spans="1:6" ht="15.95" customHeight="1" x14ac:dyDescent="0.2">
      <c r="A19" s="157" t="s">
        <v>42</v>
      </c>
      <c r="B19" s="28" t="s">
        <v>501</v>
      </c>
      <c r="C19" s="28" t="s">
        <v>492</v>
      </c>
      <c r="D19" s="29">
        <v>19982000</v>
      </c>
      <c r="E19" s="43"/>
      <c r="F19" s="408"/>
    </row>
    <row r="20" spans="1:6" ht="15.95" customHeight="1" x14ac:dyDescent="0.2">
      <c r="A20" s="157" t="s">
        <v>43</v>
      </c>
      <c r="B20" s="28" t="s">
        <v>502</v>
      </c>
      <c r="C20" s="28" t="s">
        <v>492</v>
      </c>
      <c r="D20" s="29"/>
      <c r="E20" s="43"/>
      <c r="F20" s="43"/>
    </row>
    <row r="21" spans="1:6" ht="15.95" customHeight="1" x14ac:dyDescent="0.2">
      <c r="A21" s="157" t="s">
        <v>44</v>
      </c>
      <c r="B21" s="28" t="s">
        <v>694</v>
      </c>
      <c r="C21" s="28" t="s">
        <v>492</v>
      </c>
      <c r="D21" s="29">
        <v>150000</v>
      </c>
    </row>
    <row r="22" spans="1:6" ht="15.95" customHeight="1" x14ac:dyDescent="0.2">
      <c r="A22" s="157" t="s">
        <v>45</v>
      </c>
      <c r="B22" s="28" t="s">
        <v>3</v>
      </c>
      <c r="C22" s="28" t="s">
        <v>492</v>
      </c>
      <c r="D22" s="67">
        <v>13000000</v>
      </c>
    </row>
    <row r="23" spans="1:6" ht="22.5" x14ac:dyDescent="0.2">
      <c r="A23" s="157" t="s">
        <v>49</v>
      </c>
      <c r="B23" s="845" t="s">
        <v>722</v>
      </c>
      <c r="C23" s="28" t="s">
        <v>492</v>
      </c>
      <c r="D23" s="67">
        <v>3000000</v>
      </c>
    </row>
    <row r="24" spans="1:6" ht="15.95" customHeight="1" x14ac:dyDescent="0.2">
      <c r="A24" s="157" t="s">
        <v>52</v>
      </c>
      <c r="B24" s="28" t="s">
        <v>717</v>
      </c>
      <c r="C24" s="28" t="s">
        <v>492</v>
      </c>
      <c r="D24" s="67">
        <v>4093000</v>
      </c>
    </row>
    <row r="25" spans="1:6" ht="15.95" customHeight="1" x14ac:dyDescent="0.2">
      <c r="A25" s="157" t="s">
        <v>53</v>
      </c>
      <c r="B25" s="28" t="s">
        <v>890</v>
      </c>
      <c r="C25" s="28" t="s">
        <v>492</v>
      </c>
      <c r="D25" s="67">
        <v>84924866</v>
      </c>
    </row>
    <row r="26" spans="1:6" ht="15.95" customHeight="1" x14ac:dyDescent="0.2">
      <c r="A26" s="157" t="s">
        <v>55</v>
      </c>
      <c r="B26" s="28" t="s">
        <v>723</v>
      </c>
      <c r="C26" s="28" t="s">
        <v>492</v>
      </c>
      <c r="D26" s="67">
        <v>60000</v>
      </c>
    </row>
    <row r="27" spans="1:6" ht="15.95" customHeight="1" x14ac:dyDescent="0.2">
      <c r="A27" s="157" t="s">
        <v>58</v>
      </c>
      <c r="B27" s="28" t="s">
        <v>891</v>
      </c>
      <c r="C27" s="28" t="s">
        <v>492</v>
      </c>
      <c r="D27" s="67">
        <v>660000</v>
      </c>
    </row>
    <row r="28" spans="1:6" ht="15.95" customHeight="1" thickBot="1" x14ac:dyDescent="0.25">
      <c r="A28" s="157" t="s">
        <v>59</v>
      </c>
      <c r="B28" s="426"/>
      <c r="C28" s="28"/>
      <c r="D28" s="67"/>
    </row>
    <row r="29" spans="1:6" ht="15.95" customHeight="1" thickBot="1" x14ac:dyDescent="0.25">
      <c r="A29" s="1254" t="s">
        <v>66</v>
      </c>
      <c r="B29" s="1255"/>
      <c r="C29" s="158"/>
      <c r="D29" s="159">
        <f>SUM(D5:D28)</f>
        <v>213871805</v>
      </c>
    </row>
  </sheetData>
  <mergeCells count="3">
    <mergeCell ref="A1:D1"/>
    <mergeCell ref="C3:D3"/>
    <mergeCell ref="A29:B29"/>
  </mergeCells>
  <conditionalFormatting sqref="D29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6.sz. tájékoztató tábla a ../......(.......) önkormányzati rendelethez
TÁJÉKOZTATÓ TÁBLA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view="pageLayout" zoomScale="70" zoomScaleNormal="100" zoomScalePageLayoutView="70" workbookViewId="0">
      <selection activeCell="E45" sqref="E45"/>
    </sheetView>
  </sheetViews>
  <sheetFormatPr defaultColWidth="10.6640625" defaultRowHeight="12.75" x14ac:dyDescent="0.2"/>
  <cols>
    <col min="1" max="1" width="42.33203125" style="591" customWidth="1"/>
    <col min="2" max="2" width="13" style="592" bestFit="1" customWidth="1"/>
    <col min="3" max="4" width="11.1640625" style="592" bestFit="1" customWidth="1"/>
    <col min="5" max="5" width="11.33203125" style="592" bestFit="1" customWidth="1"/>
    <col min="6" max="6" width="11.83203125" style="592" bestFit="1" customWidth="1"/>
    <col min="7" max="7" width="13.6640625" style="593" bestFit="1" customWidth="1"/>
    <col min="8" max="8" width="1.1640625" style="593" customWidth="1"/>
    <col min="9" max="9" width="12.6640625" style="591" bestFit="1" customWidth="1"/>
    <col min="10" max="10" width="11.1640625" style="591" bestFit="1" customWidth="1"/>
    <col min="11" max="11" width="13" style="591" bestFit="1" customWidth="1"/>
    <col min="12" max="13" width="11.1640625" style="591" bestFit="1" customWidth="1"/>
    <col min="14" max="14" width="15.1640625" style="594" bestFit="1" customWidth="1"/>
    <col min="15" max="15" width="15.1640625" style="591" bestFit="1" customWidth="1"/>
    <col min="16" max="16384" width="10.6640625" style="591"/>
  </cols>
  <sheetData>
    <row r="1" spans="1:194" x14ac:dyDescent="0.2">
      <c r="J1" s="1256"/>
      <c r="K1" s="1256"/>
      <c r="L1" s="1256"/>
      <c r="M1" s="1256"/>
    </row>
    <row r="2" spans="1:194" x14ac:dyDescent="0.2">
      <c r="A2" s="595"/>
      <c r="E2" s="596"/>
      <c r="I2" s="595"/>
      <c r="J2" s="1257"/>
      <c r="K2" s="1257"/>
      <c r="L2" s="1257"/>
      <c r="M2" s="1257"/>
      <c r="N2" s="597"/>
    </row>
    <row r="3" spans="1:194" ht="17.25" customHeight="1" x14ac:dyDescent="0.35">
      <c r="A3" s="598" t="s">
        <v>755</v>
      </c>
      <c r="B3" s="599"/>
      <c r="C3" s="599"/>
      <c r="D3" s="599"/>
      <c r="E3" s="599"/>
      <c r="F3" s="599"/>
      <c r="G3" s="600"/>
      <c r="H3" s="600"/>
      <c r="I3" s="601"/>
      <c r="J3" s="601"/>
      <c r="K3" s="601"/>
      <c r="L3" s="601"/>
      <c r="M3" s="601"/>
      <c r="N3" s="602"/>
    </row>
    <row r="4" spans="1:194" ht="19.5" x14ac:dyDescent="0.35">
      <c r="A4" s="603" t="s">
        <v>503</v>
      </c>
      <c r="B4" s="599"/>
      <c r="C4" s="599"/>
      <c r="D4" s="599"/>
      <c r="E4" s="599"/>
      <c r="F4" s="599"/>
      <c r="G4" s="600"/>
      <c r="H4" s="600"/>
      <c r="I4" s="601"/>
      <c r="J4" s="601"/>
      <c r="K4" s="601"/>
      <c r="L4" s="601"/>
      <c r="M4" s="601"/>
      <c r="N4" s="602"/>
    </row>
    <row r="5" spans="1:194" ht="0.75" customHeight="1" thickBot="1" x14ac:dyDescent="0.35">
      <c r="A5" s="604"/>
      <c r="B5" s="599"/>
      <c r="C5" s="599"/>
      <c r="D5" s="599"/>
      <c r="E5" s="599"/>
      <c r="F5" s="599"/>
      <c r="G5" s="600"/>
      <c r="H5" s="600"/>
      <c r="I5" s="601"/>
      <c r="J5" s="601"/>
      <c r="K5" s="601"/>
      <c r="L5" s="601"/>
      <c r="M5" s="601"/>
      <c r="N5" s="597" t="s">
        <v>448</v>
      </c>
    </row>
    <row r="6" spans="1:194" ht="15.75" x14ac:dyDescent="0.25">
      <c r="A6" s="605" t="s">
        <v>209</v>
      </c>
      <c r="B6" s="1258" t="s">
        <v>504</v>
      </c>
      <c r="C6" s="1259"/>
      <c r="D6" s="1259"/>
      <c r="E6" s="1259"/>
      <c r="F6" s="1259"/>
      <c r="G6" s="1260"/>
      <c r="H6" s="606"/>
      <c r="I6" s="1258" t="s">
        <v>505</v>
      </c>
      <c r="J6" s="1259"/>
      <c r="K6" s="1259"/>
      <c r="L6" s="1259"/>
      <c r="M6" s="1259"/>
      <c r="N6" s="1260"/>
    </row>
    <row r="7" spans="1:194" x14ac:dyDescent="0.2">
      <c r="A7" s="607"/>
      <c r="B7" s="608" t="s">
        <v>506</v>
      </c>
      <c r="C7" s="609" t="s">
        <v>462</v>
      </c>
      <c r="D7" s="609" t="s">
        <v>528</v>
      </c>
      <c r="E7" s="609" t="s">
        <v>507</v>
      </c>
      <c r="F7" s="609" t="s">
        <v>659</v>
      </c>
      <c r="G7" s="610" t="s">
        <v>756</v>
      </c>
      <c r="H7" s="611"/>
      <c r="I7" s="608" t="s">
        <v>506</v>
      </c>
      <c r="J7" s="609" t="s">
        <v>462</v>
      </c>
      <c r="K7" s="609" t="s">
        <v>537</v>
      </c>
      <c r="L7" s="609" t="s">
        <v>146</v>
      </c>
      <c r="M7" s="609" t="s">
        <v>529</v>
      </c>
      <c r="N7" s="610" t="s">
        <v>757</v>
      </c>
    </row>
    <row r="8" spans="1:194" ht="13.5" thickBot="1" x14ac:dyDescent="0.25">
      <c r="A8" s="612"/>
      <c r="B8" s="613" t="s">
        <v>508</v>
      </c>
      <c r="C8" s="614" t="s">
        <v>508</v>
      </c>
      <c r="D8" s="614" t="s">
        <v>508</v>
      </c>
      <c r="E8" s="614" t="s">
        <v>509</v>
      </c>
      <c r="F8" s="614"/>
      <c r="G8" s="615" t="s">
        <v>510</v>
      </c>
      <c r="H8" s="616"/>
      <c r="I8" s="691" t="s">
        <v>511</v>
      </c>
      <c r="J8" s="692" t="s">
        <v>468</v>
      </c>
      <c r="K8" s="692" t="s">
        <v>464</v>
      </c>
      <c r="L8" s="692"/>
      <c r="M8" s="692"/>
      <c r="N8" s="693" t="s">
        <v>512</v>
      </c>
    </row>
    <row r="9" spans="1:194" x14ac:dyDescent="0.2">
      <c r="A9" s="694" t="s">
        <v>530</v>
      </c>
      <c r="B9" s="617">
        <v>2900000</v>
      </c>
      <c r="C9" s="618"/>
      <c r="D9" s="619"/>
      <c r="E9" s="618"/>
      <c r="F9" s="618"/>
      <c r="G9" s="620">
        <f>SUM(B9:F9)</f>
        <v>2900000</v>
      </c>
      <c r="H9" s="621"/>
      <c r="I9" s="622"/>
      <c r="J9" s="618">
        <v>359410</v>
      </c>
      <c r="K9" s="623"/>
      <c r="L9" s="618"/>
      <c r="M9" s="618"/>
      <c r="N9" s="624">
        <f t="shared" ref="N9:N16" si="0">SUM(I9:M9)</f>
        <v>359410</v>
      </c>
      <c r="O9" s="625"/>
      <c r="P9" s="625"/>
      <c r="Q9" s="625"/>
      <c r="R9" s="625"/>
      <c r="S9" s="625"/>
      <c r="T9" s="625"/>
      <c r="U9" s="625"/>
      <c r="V9" s="625"/>
      <c r="W9" s="625"/>
      <c r="X9" s="625"/>
      <c r="Y9" s="625"/>
      <c r="Z9" s="625"/>
      <c r="AA9" s="625"/>
      <c r="AB9" s="625"/>
      <c r="AC9" s="625"/>
      <c r="AD9" s="625"/>
      <c r="AE9" s="625"/>
      <c r="AF9" s="625"/>
      <c r="AG9" s="625"/>
      <c r="AH9" s="625"/>
      <c r="AI9" s="625"/>
      <c r="AJ9" s="625"/>
      <c r="AK9" s="625"/>
      <c r="AL9" s="625"/>
      <c r="AM9" s="625"/>
      <c r="AN9" s="625"/>
      <c r="AO9" s="625"/>
      <c r="AP9" s="625"/>
      <c r="AQ9" s="625"/>
      <c r="AR9" s="625"/>
      <c r="AS9" s="625"/>
      <c r="AT9" s="625"/>
      <c r="AU9" s="625"/>
      <c r="AV9" s="625"/>
      <c r="AW9" s="625"/>
      <c r="AX9" s="625"/>
      <c r="AY9" s="625"/>
      <c r="AZ9" s="625"/>
      <c r="BA9" s="625"/>
      <c r="BB9" s="625"/>
      <c r="BC9" s="625"/>
      <c r="BD9" s="625"/>
      <c r="BE9" s="625"/>
      <c r="BF9" s="625"/>
      <c r="BG9" s="625"/>
      <c r="BH9" s="625"/>
      <c r="BI9" s="625"/>
      <c r="BJ9" s="625"/>
      <c r="BK9" s="625"/>
      <c r="BL9" s="625"/>
      <c r="BM9" s="625"/>
      <c r="BN9" s="625"/>
      <c r="BO9" s="625"/>
      <c r="BP9" s="625"/>
      <c r="BQ9" s="625"/>
      <c r="BR9" s="625"/>
      <c r="BS9" s="625"/>
      <c r="BT9" s="625"/>
      <c r="BU9" s="625"/>
      <c r="BV9" s="625"/>
      <c r="BW9" s="625"/>
      <c r="BX9" s="625"/>
      <c r="BY9" s="625"/>
      <c r="BZ9" s="625"/>
      <c r="CA9" s="625"/>
      <c r="CB9" s="625"/>
      <c r="CC9" s="625"/>
      <c r="CD9" s="625"/>
      <c r="CE9" s="625"/>
      <c r="CF9" s="625"/>
      <c r="CG9" s="625"/>
      <c r="CH9" s="625"/>
      <c r="CI9" s="625"/>
      <c r="CJ9" s="625"/>
      <c r="CK9" s="625"/>
      <c r="CL9" s="625"/>
      <c r="CM9" s="625"/>
      <c r="CN9" s="625"/>
      <c r="CO9" s="625"/>
      <c r="CP9" s="625"/>
      <c r="CQ9" s="625"/>
      <c r="CR9" s="625"/>
      <c r="CS9" s="625"/>
      <c r="CT9" s="625"/>
      <c r="CU9" s="625"/>
      <c r="CV9" s="625"/>
      <c r="CW9" s="625"/>
      <c r="CX9" s="625"/>
      <c r="CY9" s="625"/>
      <c r="CZ9" s="625"/>
      <c r="DA9" s="625"/>
      <c r="DB9" s="625"/>
      <c r="DC9" s="625"/>
      <c r="DD9" s="625"/>
      <c r="DE9" s="625"/>
      <c r="DF9" s="625"/>
      <c r="DG9" s="625"/>
      <c r="DH9" s="625"/>
      <c r="DI9" s="625"/>
      <c r="DJ9" s="625"/>
      <c r="DK9" s="625"/>
      <c r="DL9" s="625"/>
      <c r="DM9" s="625"/>
      <c r="DN9" s="625"/>
      <c r="DO9" s="625"/>
      <c r="DP9" s="625"/>
      <c r="DQ9" s="625"/>
      <c r="DR9" s="625"/>
      <c r="DS9" s="625"/>
      <c r="DT9" s="625"/>
      <c r="DU9" s="625"/>
      <c r="DV9" s="625"/>
      <c r="DW9" s="625"/>
      <c r="DX9" s="625"/>
      <c r="DY9" s="625"/>
      <c r="DZ9" s="625"/>
      <c r="EA9" s="625"/>
      <c r="EB9" s="625"/>
      <c r="EC9" s="625"/>
      <c r="ED9" s="625"/>
      <c r="EE9" s="625"/>
      <c r="EF9" s="625"/>
      <c r="EG9" s="625"/>
      <c r="EH9" s="625"/>
      <c r="EI9" s="625"/>
      <c r="EJ9" s="625"/>
      <c r="EK9" s="625"/>
      <c r="EL9" s="625"/>
      <c r="EM9" s="625"/>
      <c r="EN9" s="625"/>
      <c r="EO9" s="625"/>
      <c r="EP9" s="625"/>
      <c r="EQ9" s="625"/>
      <c r="ER9" s="625"/>
      <c r="ES9" s="625"/>
      <c r="ET9" s="625"/>
      <c r="EU9" s="625"/>
      <c r="EV9" s="625"/>
      <c r="EW9" s="625"/>
      <c r="EX9" s="625"/>
      <c r="EY9" s="625"/>
      <c r="EZ9" s="625"/>
      <c r="FA9" s="625"/>
      <c r="FB9" s="625"/>
      <c r="FC9" s="625"/>
      <c r="FD9" s="625"/>
      <c r="FE9" s="625"/>
      <c r="FF9" s="625"/>
      <c r="FG9" s="625"/>
      <c r="FH9" s="625"/>
      <c r="FI9" s="625"/>
      <c r="FJ9" s="625"/>
      <c r="FK9" s="625"/>
      <c r="FL9" s="625"/>
      <c r="FM9" s="625"/>
      <c r="FN9" s="625"/>
      <c r="FO9" s="625"/>
      <c r="FP9" s="625"/>
      <c r="FQ9" s="625"/>
      <c r="FR9" s="625"/>
      <c r="FS9" s="625"/>
      <c r="FT9" s="625"/>
      <c r="FU9" s="625"/>
      <c r="FV9" s="625"/>
      <c r="FW9" s="625"/>
      <c r="FX9" s="625"/>
      <c r="FY9" s="625"/>
      <c r="FZ9" s="625"/>
      <c r="GA9" s="625"/>
      <c r="GB9" s="625"/>
      <c r="GC9" s="625"/>
      <c r="GD9" s="625"/>
      <c r="GE9" s="625"/>
      <c r="GF9" s="625"/>
      <c r="GG9" s="625"/>
      <c r="GH9" s="625"/>
      <c r="GI9" s="625"/>
      <c r="GJ9" s="625"/>
      <c r="GK9" s="625"/>
      <c r="GL9" s="625"/>
    </row>
    <row r="10" spans="1:194" x14ac:dyDescent="0.2">
      <c r="A10" s="632" t="s">
        <v>647</v>
      </c>
      <c r="B10" s="626"/>
      <c r="C10" s="627"/>
      <c r="D10" s="627"/>
      <c r="E10" s="627"/>
      <c r="F10" s="627"/>
      <c r="G10" s="628">
        <f>SUM(B10:F10)</f>
        <v>0</v>
      </c>
      <c r="H10" s="629"/>
      <c r="I10" s="630">
        <v>13447475</v>
      </c>
      <c r="J10" s="627"/>
      <c r="K10" s="627"/>
      <c r="L10" s="627"/>
      <c r="M10" s="627"/>
      <c r="N10" s="631">
        <f t="shared" si="0"/>
        <v>13447475</v>
      </c>
    </row>
    <row r="11" spans="1:194" x14ac:dyDescent="0.2">
      <c r="A11" s="632" t="s">
        <v>662</v>
      </c>
      <c r="B11" s="626"/>
      <c r="C11" s="627"/>
      <c r="D11" s="627"/>
      <c r="E11" s="627"/>
      <c r="F11" s="627"/>
      <c r="G11" s="628">
        <f>SUM(B11:F11)</f>
        <v>0</v>
      </c>
      <c r="H11" s="629"/>
      <c r="I11" s="630">
        <v>835000</v>
      </c>
      <c r="J11" s="627"/>
      <c r="K11" s="627"/>
      <c r="L11" s="627"/>
      <c r="M11" s="627"/>
      <c r="N11" s="631">
        <f t="shared" si="0"/>
        <v>835000</v>
      </c>
    </row>
    <row r="12" spans="1:194" x14ac:dyDescent="0.2">
      <c r="A12" s="632" t="s">
        <v>663</v>
      </c>
      <c r="B12" s="626"/>
      <c r="C12" s="627">
        <f>15690532-15690532</f>
        <v>0</v>
      </c>
      <c r="D12" s="627"/>
      <c r="E12" s="627"/>
      <c r="F12" s="627"/>
      <c r="G12" s="628">
        <f>SUM(B12:F12)</f>
        <v>0</v>
      </c>
      <c r="H12" s="633"/>
      <c r="I12" s="630">
        <v>50000</v>
      </c>
      <c r="J12" s="627">
        <v>2345001</v>
      </c>
      <c r="K12" s="627"/>
      <c r="L12" s="627"/>
      <c r="M12" s="627"/>
      <c r="N12" s="631">
        <f t="shared" si="0"/>
        <v>2395001</v>
      </c>
    </row>
    <row r="13" spans="1:194" x14ac:dyDescent="0.2">
      <c r="A13" s="632" t="s">
        <v>531</v>
      </c>
      <c r="B13" s="626"/>
      <c r="C13" s="634"/>
      <c r="D13" s="627"/>
      <c r="E13" s="627"/>
      <c r="F13" s="627"/>
      <c r="G13" s="628">
        <f t="shared" ref="G13:G19" si="1">SUM(B13:F13)</f>
        <v>0</v>
      </c>
      <c r="H13" s="635" t="e">
        <f>SUM(#REF!)</f>
        <v>#REF!</v>
      </c>
      <c r="I13" s="630"/>
      <c r="J13" s="627"/>
      <c r="K13" s="627"/>
      <c r="L13" s="627"/>
      <c r="M13" s="627"/>
      <c r="N13" s="631">
        <f t="shared" si="0"/>
        <v>0</v>
      </c>
    </row>
    <row r="14" spans="1:194" x14ac:dyDescent="0.2">
      <c r="A14" s="636" t="s">
        <v>648</v>
      </c>
      <c r="B14" s="626">
        <v>19342000</v>
      </c>
      <c r="C14" s="637"/>
      <c r="D14" s="627"/>
      <c r="E14" s="637"/>
      <c r="F14" s="637"/>
      <c r="G14" s="631">
        <f t="shared" si="1"/>
        <v>19342000</v>
      </c>
      <c r="H14" s="629"/>
      <c r="I14" s="630">
        <v>16099000</v>
      </c>
      <c r="J14" s="627"/>
      <c r="K14" s="637"/>
      <c r="L14" s="637"/>
      <c r="M14" s="637"/>
      <c r="N14" s="631">
        <f t="shared" si="0"/>
        <v>16099000</v>
      </c>
    </row>
    <row r="15" spans="1:194" x14ac:dyDescent="0.2">
      <c r="A15" s="632" t="s">
        <v>513</v>
      </c>
      <c r="B15" s="626"/>
      <c r="C15" s="627"/>
      <c r="D15" s="627"/>
      <c r="E15" s="627"/>
      <c r="F15" s="627"/>
      <c r="G15" s="628">
        <f t="shared" si="1"/>
        <v>0</v>
      </c>
      <c r="H15" s="629"/>
      <c r="I15" s="630">
        <v>12484218</v>
      </c>
      <c r="J15" s="627">
        <v>1881000</v>
      </c>
      <c r="K15" s="627"/>
      <c r="L15" s="627"/>
      <c r="M15" s="627"/>
      <c r="N15" s="631">
        <f t="shared" si="0"/>
        <v>14365218</v>
      </c>
    </row>
    <row r="16" spans="1:194" x14ac:dyDescent="0.2">
      <c r="A16" s="632" t="s">
        <v>514</v>
      </c>
      <c r="B16" s="626">
        <v>481000</v>
      </c>
      <c r="C16" s="627"/>
      <c r="D16" s="627"/>
      <c r="E16" s="627"/>
      <c r="F16" s="627"/>
      <c r="G16" s="628">
        <f t="shared" si="1"/>
        <v>481000</v>
      </c>
      <c r="H16" s="629"/>
      <c r="I16" s="630">
        <v>2456000</v>
      </c>
      <c r="J16" s="753"/>
      <c r="K16" s="627"/>
      <c r="L16" s="627"/>
      <c r="M16" s="627"/>
      <c r="N16" s="631">
        <f t="shared" si="0"/>
        <v>2456000</v>
      </c>
    </row>
    <row r="17" spans="1:14" x14ac:dyDescent="0.2">
      <c r="A17" s="632" t="s">
        <v>515</v>
      </c>
      <c r="B17" s="626"/>
      <c r="C17" s="627"/>
      <c r="D17" s="627"/>
      <c r="E17" s="627"/>
      <c r="F17" s="627"/>
      <c r="G17" s="628">
        <f t="shared" si="1"/>
        <v>0</v>
      </c>
      <c r="H17" s="629"/>
      <c r="I17" s="630"/>
      <c r="J17" s="627"/>
      <c r="K17" s="627"/>
      <c r="L17" s="627"/>
      <c r="M17" s="627"/>
      <c r="N17" s="631">
        <f t="shared" ref="N17:N51" si="2">SUM(I17:M17)</f>
        <v>0</v>
      </c>
    </row>
    <row r="18" spans="1:14" x14ac:dyDescent="0.2">
      <c r="A18" s="632" t="s">
        <v>516</v>
      </c>
      <c r="B18" s="638">
        <v>63500</v>
      </c>
      <c r="C18" s="637"/>
      <c r="D18" s="637"/>
      <c r="E18" s="637"/>
      <c r="F18" s="637"/>
      <c r="G18" s="631">
        <f t="shared" si="1"/>
        <v>63500</v>
      </c>
      <c r="H18" s="639"/>
      <c r="I18" s="630">
        <f>34373231</f>
        <v>34373231</v>
      </c>
      <c r="J18" s="627"/>
      <c r="K18" s="637"/>
      <c r="L18" s="637"/>
      <c r="M18" s="637"/>
      <c r="N18" s="631">
        <f t="shared" si="2"/>
        <v>34373231</v>
      </c>
    </row>
    <row r="19" spans="1:14" x14ac:dyDescent="0.2">
      <c r="A19" s="636" t="s">
        <v>517</v>
      </c>
      <c r="B19" s="638"/>
      <c r="C19" s="637"/>
      <c r="D19" s="637"/>
      <c r="E19" s="637"/>
      <c r="F19" s="637"/>
      <c r="G19" s="631">
        <f t="shared" si="1"/>
        <v>0</v>
      </c>
      <c r="H19" s="639"/>
      <c r="I19" s="630">
        <v>17856849</v>
      </c>
      <c r="J19" s="637"/>
      <c r="K19" s="637"/>
      <c r="L19" s="637"/>
      <c r="M19" s="637"/>
      <c r="N19" s="631">
        <f t="shared" si="2"/>
        <v>17856849</v>
      </c>
    </row>
    <row r="20" spans="1:14" x14ac:dyDescent="0.2">
      <c r="A20" s="632" t="s">
        <v>518</v>
      </c>
      <c r="B20" s="626">
        <f>SUM(B21:B23)</f>
        <v>0</v>
      </c>
      <c r="C20" s="627">
        <f>SUM(C21:C23)</f>
        <v>0</v>
      </c>
      <c r="D20" s="627">
        <f>SUM(D21:D23)</f>
        <v>345658000</v>
      </c>
      <c r="E20" s="627"/>
      <c r="F20" s="627"/>
      <c r="G20" s="631">
        <f>SUM(G21:G23)</f>
        <v>345658000</v>
      </c>
      <c r="H20" s="639"/>
      <c r="I20" s="640"/>
      <c r="J20" s="637"/>
      <c r="K20" s="637">
        <f>SUM(K21:K23)</f>
        <v>0</v>
      </c>
      <c r="L20" s="637"/>
      <c r="M20" s="637"/>
      <c r="N20" s="631">
        <f t="shared" si="2"/>
        <v>0</v>
      </c>
    </row>
    <row r="21" spans="1:14" x14ac:dyDescent="0.2">
      <c r="A21" s="641" t="s">
        <v>532</v>
      </c>
      <c r="B21" s="626"/>
      <c r="C21" s="637"/>
      <c r="D21" s="626">
        <f>308658000+3500000</f>
        <v>312158000</v>
      </c>
      <c r="E21" s="637"/>
      <c r="F21" s="637"/>
      <c r="G21" s="642">
        <f t="shared" ref="G21:G27" si="3">SUM(B21:F21)</f>
        <v>312158000</v>
      </c>
      <c r="H21" s="639"/>
      <c r="I21" s="640"/>
      <c r="J21" s="637"/>
      <c r="K21" s="637"/>
      <c r="L21" s="637"/>
      <c r="M21" s="637"/>
      <c r="N21" s="643">
        <f t="shared" si="2"/>
        <v>0</v>
      </c>
    </row>
    <row r="22" spans="1:14" x14ac:dyDescent="0.2">
      <c r="A22" s="641" t="s">
        <v>519</v>
      </c>
      <c r="B22" s="626"/>
      <c r="C22" s="637"/>
      <c r="D22" s="626">
        <v>28000000</v>
      </c>
      <c r="E22" s="637"/>
      <c r="F22" s="637"/>
      <c r="G22" s="642">
        <f t="shared" si="3"/>
        <v>28000000</v>
      </c>
      <c r="H22" s="639"/>
      <c r="I22" s="640"/>
      <c r="J22" s="637"/>
      <c r="K22" s="637"/>
      <c r="L22" s="637"/>
      <c r="M22" s="637"/>
      <c r="N22" s="643">
        <f t="shared" si="2"/>
        <v>0</v>
      </c>
    </row>
    <row r="23" spans="1:14" x14ac:dyDescent="0.2">
      <c r="A23" s="641" t="s">
        <v>649</v>
      </c>
      <c r="B23" s="626"/>
      <c r="C23" s="637"/>
      <c r="D23" s="626">
        <v>5500000</v>
      </c>
      <c r="E23" s="637"/>
      <c r="F23" s="637"/>
      <c r="G23" s="642">
        <f t="shared" si="3"/>
        <v>5500000</v>
      </c>
      <c r="H23" s="639"/>
      <c r="I23" s="640"/>
      <c r="J23" s="637"/>
      <c r="K23" s="637"/>
      <c r="L23" s="637"/>
      <c r="M23" s="637"/>
      <c r="N23" s="643">
        <f t="shared" si="2"/>
        <v>0</v>
      </c>
    </row>
    <row r="24" spans="1:14" x14ac:dyDescent="0.2">
      <c r="A24" s="846" t="s">
        <v>1</v>
      </c>
      <c r="B24" s="638"/>
      <c r="C24" s="637"/>
      <c r="D24" s="637"/>
      <c r="E24" s="637"/>
      <c r="F24" s="637"/>
      <c r="G24" s="642">
        <f t="shared" si="3"/>
        <v>0</v>
      </c>
      <c r="H24" s="639"/>
      <c r="I24" s="630">
        <v>34200000</v>
      </c>
      <c r="J24" s="627"/>
      <c r="K24" s="637"/>
      <c r="L24" s="637"/>
      <c r="M24" s="637"/>
      <c r="N24" s="631">
        <f t="shared" si="2"/>
        <v>34200000</v>
      </c>
    </row>
    <row r="25" spans="1:14" x14ac:dyDescent="0.2">
      <c r="A25" s="632" t="s">
        <v>544</v>
      </c>
      <c r="B25" s="638"/>
      <c r="C25" s="637"/>
      <c r="D25" s="637"/>
      <c r="E25" s="637"/>
      <c r="F25" s="637"/>
      <c r="G25" s="631">
        <f t="shared" si="3"/>
        <v>0</v>
      </c>
      <c r="H25" s="639"/>
      <c r="I25" s="630"/>
      <c r="J25" s="637"/>
      <c r="K25" s="637"/>
      <c r="L25" s="637"/>
      <c r="M25" s="637"/>
      <c r="N25" s="631">
        <f t="shared" si="2"/>
        <v>0</v>
      </c>
    </row>
    <row r="26" spans="1:14" x14ac:dyDescent="0.2">
      <c r="A26" s="632" t="s">
        <v>520</v>
      </c>
      <c r="B26" s="638"/>
      <c r="C26" s="637"/>
      <c r="D26" s="637"/>
      <c r="E26" s="637"/>
      <c r="F26" s="637"/>
      <c r="G26" s="631">
        <f t="shared" si="3"/>
        <v>0</v>
      </c>
      <c r="H26" s="639"/>
      <c r="I26" s="630">
        <v>34163000</v>
      </c>
      <c r="J26" s="637">
        <v>1500000</v>
      </c>
      <c r="K26" s="637"/>
      <c r="L26" s="637"/>
      <c r="M26" s="637"/>
      <c r="N26" s="631">
        <f t="shared" si="2"/>
        <v>35663000</v>
      </c>
    </row>
    <row r="27" spans="1:14" ht="13.5" customHeight="1" x14ac:dyDescent="0.2">
      <c r="A27" s="695" t="s">
        <v>521</v>
      </c>
      <c r="B27" s="644">
        <f>4320000+1400000+378000+60000+300000</f>
        <v>6458000</v>
      </c>
      <c r="C27" s="645"/>
      <c r="D27" s="645">
        <v>7000000</v>
      </c>
      <c r="E27" s="646"/>
      <c r="F27" s="645"/>
      <c r="G27" s="647">
        <f t="shared" si="3"/>
        <v>13458000</v>
      </c>
      <c r="H27" s="639"/>
      <c r="I27" s="649">
        <f>16116992+2940000+50473064+52959801</f>
        <v>122489857</v>
      </c>
      <c r="J27" s="645">
        <v>3139585</v>
      </c>
      <c r="K27" s="645"/>
      <c r="L27" s="646"/>
      <c r="M27" s="646"/>
      <c r="N27" s="647">
        <f t="shared" si="2"/>
        <v>125629442</v>
      </c>
    </row>
    <row r="28" spans="1:14" x14ac:dyDescent="0.2">
      <c r="A28" s="632" t="s">
        <v>533</v>
      </c>
      <c r="B28" s="626">
        <f t="shared" ref="B28:G28" si="4">SUM(B29:B31)</f>
        <v>1467718578</v>
      </c>
      <c r="C28" s="626">
        <f t="shared" si="4"/>
        <v>0</v>
      </c>
      <c r="D28" s="626">
        <f t="shared" si="4"/>
        <v>0</v>
      </c>
      <c r="E28" s="626">
        <f t="shared" si="4"/>
        <v>0</v>
      </c>
      <c r="F28" s="626">
        <f t="shared" si="4"/>
        <v>0</v>
      </c>
      <c r="G28" s="631">
        <f t="shared" si="4"/>
        <v>1467718578</v>
      </c>
      <c r="H28" s="648"/>
      <c r="I28" s="640">
        <f>SUM(I29:I30)</f>
        <v>38267591</v>
      </c>
      <c r="J28" s="640">
        <f>SUM(J29:J30)</f>
        <v>0</v>
      </c>
      <c r="K28" s="640">
        <f>SUM(K29:K30)</f>
        <v>0</v>
      </c>
      <c r="L28" s="640">
        <f>SUM(L29:L30)</f>
        <v>0</v>
      </c>
      <c r="M28" s="640">
        <f>SUM(M29:M30)</f>
        <v>0</v>
      </c>
      <c r="N28" s="631">
        <f t="shared" si="2"/>
        <v>38267591</v>
      </c>
    </row>
    <row r="29" spans="1:14" x14ac:dyDescent="0.2">
      <c r="A29" s="641" t="s">
        <v>534</v>
      </c>
      <c r="B29" s="626">
        <f>227855923+224734134+126991000+65060600+119410000+192410145+62092600+16122040+12622000</f>
        <v>1047298442</v>
      </c>
      <c r="C29" s="627"/>
      <c r="D29" s="637"/>
      <c r="E29" s="637"/>
      <c r="F29" s="637"/>
      <c r="G29" s="642">
        <f t="shared" ref="G29:G51" si="5">SUM(B29:F29)</f>
        <v>1047298442</v>
      </c>
      <c r="H29" s="639"/>
      <c r="I29" s="630"/>
      <c r="J29" s="637"/>
      <c r="K29" s="637"/>
      <c r="L29" s="637"/>
      <c r="M29" s="637"/>
      <c r="N29" s="643">
        <f t="shared" si="2"/>
        <v>0</v>
      </c>
    </row>
    <row r="30" spans="1:14" x14ac:dyDescent="0.2">
      <c r="A30" s="641" t="s">
        <v>535</v>
      </c>
      <c r="B30" s="752">
        <f>16254886+63796813+190231327+125887110+24250000</f>
        <v>420420136</v>
      </c>
      <c r="C30" s="627"/>
      <c r="D30" s="627"/>
      <c r="E30" s="637"/>
      <c r="F30" s="637"/>
      <c r="G30" s="642">
        <f t="shared" si="5"/>
        <v>420420136</v>
      </c>
      <c r="H30" s="639"/>
      <c r="I30" s="630">
        <v>38267591</v>
      </c>
      <c r="J30" s="637"/>
      <c r="K30" s="637"/>
      <c r="L30" s="637"/>
      <c r="M30" s="637"/>
      <c r="N30" s="631">
        <f t="shared" si="2"/>
        <v>38267591</v>
      </c>
    </row>
    <row r="31" spans="1:14" x14ac:dyDescent="0.2">
      <c r="A31" s="641" t="s">
        <v>719</v>
      </c>
      <c r="B31" s="752"/>
      <c r="C31" s="627"/>
      <c r="D31" s="627"/>
      <c r="E31" s="637"/>
      <c r="F31" s="637"/>
      <c r="G31" s="642">
        <f t="shared" si="5"/>
        <v>0</v>
      </c>
      <c r="H31" s="639"/>
      <c r="I31" s="630"/>
      <c r="J31" s="637"/>
      <c r="K31" s="637"/>
      <c r="L31" s="637"/>
      <c r="M31" s="637"/>
      <c r="N31" s="631"/>
    </row>
    <row r="32" spans="1:14" x14ac:dyDescent="0.2">
      <c r="A32" s="632" t="s">
        <v>522</v>
      </c>
      <c r="B32" s="626">
        <v>30000</v>
      </c>
      <c r="C32" s="627"/>
      <c r="D32" s="627"/>
      <c r="E32" s="627">
        <v>193478462</v>
      </c>
      <c r="F32" s="627"/>
      <c r="G32" s="628">
        <f t="shared" si="5"/>
        <v>193508462</v>
      </c>
      <c r="H32" s="629"/>
      <c r="I32" s="630">
        <f>3285067+156511+9000000</f>
        <v>12441578</v>
      </c>
      <c r="J32" s="627"/>
      <c r="K32" s="627"/>
      <c r="L32" s="627">
        <f>104042704+4444000</f>
        <v>108486704</v>
      </c>
      <c r="M32" s="627">
        <v>80846522</v>
      </c>
      <c r="N32" s="631">
        <f t="shared" si="2"/>
        <v>201774804</v>
      </c>
    </row>
    <row r="33" spans="1:14" x14ac:dyDescent="0.2">
      <c r="A33" s="632" t="s">
        <v>536</v>
      </c>
      <c r="B33" s="638"/>
      <c r="C33" s="637"/>
      <c r="D33" s="637"/>
      <c r="E33" s="637"/>
      <c r="F33" s="637">
        <v>569119704</v>
      </c>
      <c r="G33" s="631">
        <f t="shared" si="5"/>
        <v>569119704</v>
      </c>
      <c r="H33" s="639"/>
      <c r="I33" s="630"/>
      <c r="J33" s="627"/>
      <c r="K33" s="627">
        <v>1321748710</v>
      </c>
      <c r="L33" s="627"/>
      <c r="M33" s="627"/>
      <c r="N33" s="631">
        <f t="shared" si="2"/>
        <v>1321748710</v>
      </c>
    </row>
    <row r="34" spans="1:14" x14ac:dyDescent="0.2">
      <c r="A34" s="632" t="s">
        <v>523</v>
      </c>
      <c r="B34" s="626"/>
      <c r="C34" s="627"/>
      <c r="D34" s="627"/>
      <c r="E34" s="627"/>
      <c r="F34" s="627"/>
      <c r="G34" s="631">
        <f t="shared" si="5"/>
        <v>0</v>
      </c>
      <c r="H34" s="639"/>
      <c r="I34" s="630">
        <v>577000</v>
      </c>
      <c r="J34" s="627"/>
      <c r="K34" s="627"/>
      <c r="L34" s="627"/>
      <c r="M34" s="627"/>
      <c r="N34" s="631">
        <f t="shared" si="2"/>
        <v>577000</v>
      </c>
    </row>
    <row r="35" spans="1:14" x14ac:dyDescent="0.2">
      <c r="A35" s="695" t="s">
        <v>524</v>
      </c>
      <c r="B35" s="644"/>
      <c r="C35" s="645">
        <v>3779393</v>
      </c>
      <c r="D35" s="645"/>
      <c r="E35" s="645"/>
      <c r="F35" s="645"/>
      <c r="G35" s="631">
        <f t="shared" si="5"/>
        <v>3779393</v>
      </c>
      <c r="H35" s="639"/>
      <c r="I35" s="649">
        <f>1182990+207615+350000+1874803+200000+655000+14128085</f>
        <v>18598493</v>
      </c>
      <c r="J35" s="645">
        <v>33894811</v>
      </c>
      <c r="K35" s="645"/>
      <c r="L35" s="645"/>
      <c r="M35" s="645"/>
      <c r="N35" s="631">
        <f t="shared" si="2"/>
        <v>52493304</v>
      </c>
    </row>
    <row r="36" spans="1:14" x14ac:dyDescent="0.2">
      <c r="A36" s="695" t="s">
        <v>696</v>
      </c>
      <c r="B36" s="644"/>
      <c r="C36" s="645"/>
      <c r="D36" s="645"/>
      <c r="E36" s="645"/>
      <c r="F36" s="645"/>
      <c r="G36" s="631">
        <f t="shared" si="5"/>
        <v>0</v>
      </c>
      <c r="H36" s="639"/>
      <c r="I36" s="649"/>
      <c r="J36" s="645"/>
      <c r="K36" s="645"/>
      <c r="L36" s="645"/>
      <c r="M36" s="645"/>
      <c r="N36" s="631">
        <f t="shared" si="2"/>
        <v>0</v>
      </c>
    </row>
    <row r="37" spans="1:14" x14ac:dyDescent="0.2">
      <c r="A37" s="695" t="s">
        <v>538</v>
      </c>
      <c r="B37" s="644"/>
      <c r="C37" s="645"/>
      <c r="D37" s="645"/>
      <c r="E37" s="645"/>
      <c r="F37" s="645"/>
      <c r="G37" s="631">
        <f t="shared" si="5"/>
        <v>0</v>
      </c>
      <c r="H37" s="639"/>
      <c r="I37" s="649">
        <v>6187000</v>
      </c>
      <c r="J37" s="645">
        <v>377190</v>
      </c>
      <c r="K37" s="645"/>
      <c r="L37" s="645"/>
      <c r="M37" s="645"/>
      <c r="N37" s="631">
        <f t="shared" si="2"/>
        <v>6564190</v>
      </c>
    </row>
    <row r="38" spans="1:14" x14ac:dyDescent="0.2">
      <c r="A38" s="695" t="s">
        <v>539</v>
      </c>
      <c r="B38" s="644">
        <v>947000</v>
      </c>
      <c r="C38" s="645"/>
      <c r="D38" s="645"/>
      <c r="E38" s="645"/>
      <c r="F38" s="645"/>
      <c r="G38" s="631">
        <f t="shared" si="5"/>
        <v>947000</v>
      </c>
      <c r="H38" s="639"/>
      <c r="I38" s="649">
        <v>17042731</v>
      </c>
      <c r="J38" s="645">
        <v>2338070</v>
      </c>
      <c r="K38" s="645"/>
      <c r="L38" s="645"/>
      <c r="M38" s="645"/>
      <c r="N38" s="631">
        <f t="shared" si="2"/>
        <v>19380801</v>
      </c>
    </row>
    <row r="39" spans="1:14" x14ac:dyDescent="0.2">
      <c r="A39" s="695" t="s">
        <v>651</v>
      </c>
      <c r="B39" s="644">
        <v>600000</v>
      </c>
      <c r="C39" s="645"/>
      <c r="D39" s="645"/>
      <c r="E39" s="645"/>
      <c r="F39" s="645"/>
      <c r="G39" s="631">
        <f t="shared" si="5"/>
        <v>600000</v>
      </c>
      <c r="H39" s="639"/>
      <c r="I39" s="948">
        <v>73660000</v>
      </c>
      <c r="J39" s="645"/>
      <c r="K39" s="645"/>
      <c r="L39" s="645"/>
      <c r="M39" s="645"/>
      <c r="N39" s="631">
        <f t="shared" si="2"/>
        <v>73660000</v>
      </c>
    </row>
    <row r="40" spans="1:14" x14ac:dyDescent="0.2">
      <c r="A40" s="695" t="s">
        <v>720</v>
      </c>
      <c r="B40" s="644"/>
      <c r="C40" s="645"/>
      <c r="D40" s="645"/>
      <c r="E40" s="645"/>
      <c r="F40" s="645"/>
      <c r="G40" s="631">
        <f t="shared" si="5"/>
        <v>0</v>
      </c>
      <c r="H40" s="639"/>
      <c r="I40" s="649"/>
      <c r="J40" s="645"/>
      <c r="K40" s="645"/>
      <c r="L40" s="645"/>
      <c r="M40" s="645"/>
      <c r="N40" s="631">
        <f t="shared" si="2"/>
        <v>0</v>
      </c>
    </row>
    <row r="41" spans="1:14" x14ac:dyDescent="0.2">
      <c r="A41" s="695" t="s">
        <v>4</v>
      </c>
      <c r="B41" s="644"/>
      <c r="C41" s="645"/>
      <c r="D41" s="645"/>
      <c r="E41" s="645"/>
      <c r="F41" s="645"/>
      <c r="G41" s="631">
        <f t="shared" si="5"/>
        <v>0</v>
      </c>
      <c r="H41" s="639"/>
      <c r="I41" s="649">
        <v>3300000</v>
      </c>
      <c r="J41" s="645"/>
      <c r="K41" s="645"/>
      <c r="L41" s="645"/>
      <c r="M41" s="645"/>
      <c r="N41" s="631">
        <f t="shared" si="2"/>
        <v>3300000</v>
      </c>
    </row>
    <row r="42" spans="1:14" x14ac:dyDescent="0.2">
      <c r="A42" s="695" t="s">
        <v>721</v>
      </c>
      <c r="B42" s="644"/>
      <c r="C42" s="645"/>
      <c r="D42" s="645"/>
      <c r="E42" s="645"/>
      <c r="F42" s="645"/>
      <c r="G42" s="631">
        <f t="shared" si="5"/>
        <v>0</v>
      </c>
      <c r="H42" s="639"/>
      <c r="I42" s="649"/>
      <c r="J42" s="645"/>
      <c r="K42" s="645"/>
      <c r="L42" s="645"/>
      <c r="M42" s="645"/>
      <c r="N42" s="631">
        <f t="shared" si="2"/>
        <v>0</v>
      </c>
    </row>
    <row r="43" spans="1:14" x14ac:dyDescent="0.2">
      <c r="A43" s="632" t="s">
        <v>525</v>
      </c>
      <c r="B43" s="650">
        <v>1566000</v>
      </c>
      <c r="C43" s="645"/>
      <c r="D43" s="645"/>
      <c r="E43" s="645"/>
      <c r="F43" s="645"/>
      <c r="G43" s="631">
        <f t="shared" si="5"/>
        <v>1566000</v>
      </c>
      <c r="H43" s="639"/>
      <c r="I43" s="649">
        <f>22501218+397000</f>
        <v>22898218</v>
      </c>
      <c r="J43" s="645">
        <v>65710721</v>
      </c>
      <c r="K43" s="651"/>
      <c r="L43" s="645"/>
      <c r="M43" s="645"/>
      <c r="N43" s="631">
        <f t="shared" si="2"/>
        <v>88608939</v>
      </c>
    </row>
    <row r="44" spans="1:14" x14ac:dyDescent="0.2">
      <c r="A44" s="696" t="s">
        <v>695</v>
      </c>
      <c r="B44" s="650"/>
      <c r="C44" s="645">
        <f>5866130+3796748</f>
        <v>9662878</v>
      </c>
      <c r="D44" s="645"/>
      <c r="E44" s="645"/>
      <c r="F44" s="645"/>
      <c r="G44" s="631">
        <f t="shared" si="5"/>
        <v>9662878</v>
      </c>
      <c r="H44" s="639"/>
      <c r="I44" s="649">
        <f>2854500+500965</f>
        <v>3355465</v>
      </c>
      <c r="J44" s="645">
        <f>218246101+144021480+2376540</f>
        <v>364644121</v>
      </c>
      <c r="K44" s="651"/>
      <c r="L44" s="645"/>
      <c r="M44" s="645"/>
      <c r="N44" s="631">
        <f t="shared" si="2"/>
        <v>367999586</v>
      </c>
    </row>
    <row r="45" spans="1:14" x14ac:dyDescent="0.2">
      <c r="A45" s="632" t="s">
        <v>526</v>
      </c>
      <c r="B45" s="650">
        <f>15340169+5162000</f>
        <v>20502169</v>
      </c>
      <c r="C45" s="645">
        <v>30332500</v>
      </c>
      <c r="D45" s="645"/>
      <c r="E45" s="645"/>
      <c r="F45" s="645"/>
      <c r="G45" s="631">
        <f t="shared" si="5"/>
        <v>50834669</v>
      </c>
      <c r="H45" s="639"/>
      <c r="I45" s="649">
        <v>52909601</v>
      </c>
      <c r="J45" s="645">
        <f>762000+27010505+7292837</f>
        <v>35065342</v>
      </c>
      <c r="K45" s="645"/>
      <c r="L45" s="645"/>
      <c r="M45" s="645"/>
      <c r="N45" s="631">
        <f t="shared" si="2"/>
        <v>87974943</v>
      </c>
    </row>
    <row r="46" spans="1:14" x14ac:dyDescent="0.2">
      <c r="A46" s="632" t="s">
        <v>12</v>
      </c>
      <c r="B46" s="644"/>
      <c r="C46" s="645"/>
      <c r="D46" s="645"/>
      <c r="E46" s="645"/>
      <c r="F46" s="645"/>
      <c r="G46" s="631">
        <f t="shared" si="5"/>
        <v>0</v>
      </c>
      <c r="H46" s="639"/>
      <c r="I46" s="649"/>
      <c r="J46" s="645"/>
      <c r="K46" s="645"/>
      <c r="L46" s="645"/>
      <c r="M46" s="645"/>
      <c r="N46" s="631">
        <f t="shared" si="2"/>
        <v>0</v>
      </c>
    </row>
    <row r="47" spans="1:14" x14ac:dyDescent="0.2">
      <c r="A47" s="696" t="s">
        <v>698</v>
      </c>
      <c r="B47" s="644">
        <v>381000</v>
      </c>
      <c r="C47" s="645"/>
      <c r="D47" s="645"/>
      <c r="E47" s="645"/>
      <c r="F47" s="645"/>
      <c r="G47" s="631">
        <f t="shared" si="5"/>
        <v>381000</v>
      </c>
      <c r="H47" s="639"/>
      <c r="I47" s="649">
        <f>49357310+381000</f>
        <v>49738310</v>
      </c>
      <c r="J47" s="645">
        <v>4950460</v>
      </c>
      <c r="K47" s="645"/>
      <c r="L47" s="645"/>
      <c r="M47" s="645"/>
      <c r="N47" s="631">
        <f t="shared" si="2"/>
        <v>54688770</v>
      </c>
    </row>
    <row r="48" spans="1:14" x14ac:dyDescent="0.2">
      <c r="A48" s="632" t="s">
        <v>716</v>
      </c>
      <c r="B48" s="644"/>
      <c r="C48" s="645"/>
      <c r="D48" s="645"/>
      <c r="E48" s="645"/>
      <c r="F48" s="645"/>
      <c r="G48" s="631">
        <f t="shared" si="5"/>
        <v>0</v>
      </c>
      <c r="H48" s="639"/>
      <c r="I48" s="649">
        <v>3082677</v>
      </c>
      <c r="J48" s="645">
        <v>12873483</v>
      </c>
      <c r="K48" s="645"/>
      <c r="L48" s="645"/>
      <c r="M48" s="645"/>
      <c r="N48" s="631">
        <f t="shared" si="2"/>
        <v>15956160</v>
      </c>
    </row>
    <row r="49" spans="1:15" x14ac:dyDescent="0.2">
      <c r="A49" s="695" t="s">
        <v>664</v>
      </c>
      <c r="B49" s="644"/>
      <c r="C49" s="645"/>
      <c r="D49" s="645"/>
      <c r="E49" s="645"/>
      <c r="F49" s="645"/>
      <c r="G49" s="647">
        <f t="shared" si="5"/>
        <v>0</v>
      </c>
      <c r="H49" s="639"/>
      <c r="I49" s="649">
        <v>48545760</v>
      </c>
      <c r="J49" s="645"/>
      <c r="K49" s="645"/>
      <c r="L49" s="645"/>
      <c r="M49" s="645"/>
      <c r="N49" s="631">
        <f t="shared" si="2"/>
        <v>48545760</v>
      </c>
    </row>
    <row r="50" spans="1:15" x14ac:dyDescent="0.2">
      <c r="A50" s="695" t="s">
        <v>650</v>
      </c>
      <c r="B50" s="644"/>
      <c r="C50" s="645"/>
      <c r="D50" s="645"/>
      <c r="E50" s="645"/>
      <c r="F50" s="645"/>
      <c r="G50" s="647">
        <f t="shared" si="5"/>
        <v>0</v>
      </c>
      <c r="H50" s="639"/>
      <c r="I50" s="649">
        <v>300000</v>
      </c>
      <c r="J50" s="645"/>
      <c r="K50" s="645"/>
      <c r="L50" s="645"/>
      <c r="M50" s="645"/>
      <c r="N50" s="647">
        <f t="shared" si="2"/>
        <v>300000</v>
      </c>
    </row>
    <row r="51" spans="1:15" ht="13.5" thickBot="1" x14ac:dyDescent="0.25">
      <c r="A51" s="632" t="s">
        <v>697</v>
      </c>
      <c r="B51" s="644"/>
      <c r="C51" s="645"/>
      <c r="D51" s="645"/>
      <c r="E51" s="645"/>
      <c r="F51" s="645"/>
      <c r="G51" s="647">
        <f t="shared" si="5"/>
        <v>0</v>
      </c>
      <c r="H51" s="639"/>
      <c r="I51" s="649">
        <v>500000</v>
      </c>
      <c r="J51" s="645"/>
      <c r="K51" s="645"/>
      <c r="L51" s="645"/>
      <c r="M51" s="645"/>
      <c r="N51" s="647">
        <f t="shared" si="2"/>
        <v>500000</v>
      </c>
    </row>
    <row r="52" spans="1:15" x14ac:dyDescent="0.2">
      <c r="A52" s="652" t="s">
        <v>66</v>
      </c>
      <c r="B52" s="653">
        <f>SUM(B9:B13,B14:B20,B25:B28,B32:B51,B24)</f>
        <v>1520989247</v>
      </c>
      <c r="C52" s="654">
        <f>SUM(C9:C13,C14:C20,C25:C28,C32:C51,C24)</f>
        <v>43774771</v>
      </c>
      <c r="D52" s="654">
        <f>SUM(D9:D13,D14:D20,D25:D28,D32:D51,D24)</f>
        <v>352658000</v>
      </c>
      <c r="E52" s="654">
        <f>SUM(E9:E13,E14:E20,E25:E28,E32:E51,E24)</f>
        <v>193478462</v>
      </c>
      <c r="F52" s="654">
        <f>SUM(F9:F13,F14:F20,F25:F28,F32:F51,F24)</f>
        <v>569119704</v>
      </c>
      <c r="G52" s="654">
        <f>SUM(G9:G13,G14:G20,G24:G28,G32:G38,G39:G51,)</f>
        <v>2680020184</v>
      </c>
      <c r="H52" s="654" t="e">
        <f>SUM(H9:H13,H15:H20,H25:H28,H32:H38,H39:H51)</f>
        <v>#REF!</v>
      </c>
      <c r="I52" s="654">
        <f t="shared" ref="I52:M52" si="6">SUM(I9:I13,I14:I20,I25:I28,I32:I51,I24)</f>
        <v>639859054</v>
      </c>
      <c r="J52" s="654">
        <f t="shared" si="6"/>
        <v>529079194</v>
      </c>
      <c r="K52" s="654">
        <f t="shared" si="6"/>
        <v>1321748710</v>
      </c>
      <c r="L52" s="654">
        <f t="shared" si="6"/>
        <v>108486704</v>
      </c>
      <c r="M52" s="654">
        <f t="shared" si="6"/>
        <v>80846522</v>
      </c>
      <c r="N52" s="655">
        <f>SUM(N9:N13,N14:N20,N25:N28,N32:N51,N24,N23)</f>
        <v>2680020184</v>
      </c>
      <c r="O52" s="656">
        <f>N52-G52</f>
        <v>0</v>
      </c>
    </row>
    <row r="53" spans="1:15" x14ac:dyDescent="0.2">
      <c r="A53" s="657" t="s">
        <v>527</v>
      </c>
      <c r="B53" s="658"/>
      <c r="C53" s="659"/>
      <c r="D53" s="659"/>
      <c r="E53" s="659"/>
      <c r="F53" s="659"/>
      <c r="G53" s="628"/>
      <c r="H53" s="633"/>
      <c r="I53" s="660"/>
      <c r="J53" s="627"/>
      <c r="K53" s="661">
        <v>1321748710</v>
      </c>
      <c r="L53" s="659"/>
      <c r="M53" s="659"/>
      <c r="N53" s="662">
        <f>SUM(I53:M53)</f>
        <v>1321748710</v>
      </c>
      <c r="O53" s="656"/>
    </row>
    <row r="54" spans="1:15" ht="13.5" thickBot="1" x14ac:dyDescent="0.25">
      <c r="A54" s="663" t="s">
        <v>78</v>
      </c>
      <c r="B54" s="664">
        <f t="shared" ref="B54:N54" si="7">B52-B53</f>
        <v>1520989247</v>
      </c>
      <c r="C54" s="665">
        <f t="shared" si="7"/>
        <v>43774771</v>
      </c>
      <c r="D54" s="665">
        <f t="shared" si="7"/>
        <v>352658000</v>
      </c>
      <c r="E54" s="665">
        <f t="shared" si="7"/>
        <v>193478462</v>
      </c>
      <c r="F54" s="665">
        <f t="shared" si="7"/>
        <v>569119704</v>
      </c>
      <c r="G54" s="665">
        <f t="shared" si="7"/>
        <v>2680020184</v>
      </c>
      <c r="H54" s="666" t="e">
        <f t="shared" si="7"/>
        <v>#REF!</v>
      </c>
      <c r="I54" s="664">
        <f t="shared" si="7"/>
        <v>639859054</v>
      </c>
      <c r="J54" s="665">
        <f t="shared" si="7"/>
        <v>529079194</v>
      </c>
      <c r="K54" s="665">
        <f t="shared" si="7"/>
        <v>0</v>
      </c>
      <c r="L54" s="665">
        <f t="shared" si="7"/>
        <v>108486704</v>
      </c>
      <c r="M54" s="665">
        <f t="shared" si="7"/>
        <v>80846522</v>
      </c>
      <c r="N54" s="667">
        <f t="shared" si="7"/>
        <v>1358271474</v>
      </c>
      <c r="O54" s="656"/>
    </row>
    <row r="55" spans="1:15" x14ac:dyDescent="0.2">
      <c r="A55" s="668"/>
      <c r="B55" s="669"/>
      <c r="C55" s="669"/>
      <c r="D55" s="669"/>
      <c r="E55" s="669"/>
      <c r="F55" s="669"/>
      <c r="G55" s="670"/>
      <c r="H55" s="670"/>
      <c r="I55" s="671"/>
      <c r="J55" s="669"/>
      <c r="K55" s="672"/>
      <c r="L55" s="671"/>
      <c r="M55" s="671"/>
      <c r="N55" s="673"/>
    </row>
    <row r="56" spans="1:15" x14ac:dyDescent="0.2">
      <c r="A56" s="668"/>
      <c r="B56" s="669"/>
      <c r="C56" s="669"/>
      <c r="D56" s="669"/>
      <c r="E56" s="669"/>
      <c r="F56" s="669"/>
      <c r="G56" s="670"/>
      <c r="H56" s="670"/>
      <c r="I56" s="669"/>
      <c r="J56" s="669"/>
      <c r="K56" s="672"/>
      <c r="L56" s="671"/>
      <c r="M56" s="671"/>
      <c r="N56" s="673"/>
    </row>
    <row r="57" spans="1:15" x14ac:dyDescent="0.2">
      <c r="A57" s="668"/>
      <c r="B57" s="669"/>
      <c r="C57" s="669"/>
      <c r="D57" s="669"/>
      <c r="E57" s="669"/>
      <c r="F57" s="669"/>
      <c r="G57" s="670"/>
      <c r="H57" s="670"/>
      <c r="I57" s="674"/>
      <c r="J57" s="669"/>
      <c r="K57" s="673"/>
      <c r="L57" s="669"/>
      <c r="M57" s="669"/>
      <c r="N57" s="673"/>
    </row>
    <row r="58" spans="1:15" x14ac:dyDescent="0.2">
      <c r="A58" s="668"/>
      <c r="B58" s="669"/>
      <c r="C58" s="669"/>
      <c r="D58" s="669"/>
      <c r="E58" s="669"/>
      <c r="F58" s="669"/>
      <c r="G58" s="670"/>
      <c r="H58" s="670"/>
      <c r="I58" s="669"/>
      <c r="J58" s="669"/>
      <c r="K58" s="673"/>
      <c r="L58" s="669"/>
      <c r="M58" s="669"/>
      <c r="N58" s="673"/>
    </row>
    <row r="59" spans="1:15" x14ac:dyDescent="0.2">
      <c r="A59" s="668"/>
      <c r="B59" s="669"/>
      <c r="C59" s="669"/>
      <c r="D59" s="669"/>
      <c r="E59" s="669"/>
      <c r="F59" s="669"/>
      <c r="G59" s="670"/>
      <c r="H59" s="670"/>
      <c r="I59" s="669"/>
      <c r="J59" s="669"/>
      <c r="K59" s="673"/>
      <c r="L59" s="669"/>
      <c r="M59" s="669"/>
      <c r="N59" s="673"/>
    </row>
    <row r="60" spans="1:15" x14ac:dyDescent="0.2">
      <c r="A60" s="668"/>
      <c r="B60" s="669"/>
      <c r="C60" s="669"/>
      <c r="D60" s="669"/>
      <c r="E60" s="669"/>
      <c r="F60" s="669"/>
      <c r="G60" s="670"/>
      <c r="H60" s="670"/>
      <c r="I60" s="669"/>
      <c r="J60" s="669"/>
      <c r="K60" s="673"/>
      <c r="L60" s="669"/>
      <c r="M60" s="669"/>
      <c r="N60" s="673"/>
    </row>
    <row r="61" spans="1:15" x14ac:dyDescent="0.2">
      <c r="A61" s="668"/>
      <c r="B61" s="669"/>
      <c r="C61" s="669"/>
      <c r="D61" s="669"/>
      <c r="E61" s="669"/>
      <c r="F61" s="669"/>
      <c r="G61" s="670"/>
      <c r="H61" s="670"/>
      <c r="I61" s="669"/>
      <c r="J61" s="669"/>
      <c r="K61" s="673"/>
      <c r="L61" s="669"/>
      <c r="M61" s="669"/>
      <c r="N61" s="673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&amp;R7.sz. tájékoztató tábla a ../.....(........) önkormányzati rendelethez
TÁJÉKOZTATÓ TÁBLA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G50"/>
  <sheetViews>
    <sheetView zoomScaleNormal="100" zoomScalePageLayoutView="85" workbookViewId="0">
      <selection activeCell="A2" sqref="A2"/>
    </sheetView>
  </sheetViews>
  <sheetFormatPr defaultRowHeight="15.75" x14ac:dyDescent="0.25"/>
  <cols>
    <col min="1" max="1" width="9" style="305" customWidth="1"/>
    <col min="2" max="2" width="66.33203125" style="305" bestFit="1" customWidth="1"/>
    <col min="3" max="3" width="15.5" style="306" customWidth="1"/>
    <col min="4" max="5" width="15.5" style="305" customWidth="1"/>
    <col min="6" max="6" width="9" style="316" customWidth="1"/>
    <col min="7" max="16384" width="9.33203125" style="316"/>
  </cols>
  <sheetData>
    <row r="1" spans="1:5" ht="35.25" customHeight="1" x14ac:dyDescent="0.25">
      <c r="A1" s="1261" t="s">
        <v>897</v>
      </c>
      <c r="B1" s="1261"/>
      <c r="C1" s="1261"/>
      <c r="D1" s="1261"/>
      <c r="E1" s="1261"/>
    </row>
    <row r="3" spans="1:5" ht="15.95" customHeight="1" x14ac:dyDescent="0.25">
      <c r="A3" s="1171" t="s">
        <v>28</v>
      </c>
      <c r="B3" s="1171"/>
      <c r="C3" s="1171"/>
      <c r="D3" s="1171"/>
      <c r="E3" s="1171"/>
    </row>
    <row r="4" spans="1:5" ht="15.95" customHeight="1" thickBot="1" x14ac:dyDescent="0.3">
      <c r="A4" s="1170" t="s">
        <v>161</v>
      </c>
      <c r="B4" s="1170"/>
      <c r="D4" s="437"/>
      <c r="E4" s="242" t="s">
        <v>702</v>
      </c>
    </row>
    <row r="5" spans="1:5" ht="38.1" customHeight="1" thickBot="1" x14ac:dyDescent="0.3">
      <c r="A5" s="22" t="s">
        <v>84</v>
      </c>
      <c r="B5" s="1048" t="s">
        <v>30</v>
      </c>
      <c r="C5" s="1067" t="s">
        <v>724</v>
      </c>
      <c r="D5" s="1067" t="s">
        <v>725</v>
      </c>
      <c r="E5" s="1067" t="s">
        <v>758</v>
      </c>
    </row>
    <row r="6" spans="1:5" s="317" customFormat="1" ht="12" customHeight="1" thickBot="1" x14ac:dyDescent="0.25">
      <c r="A6" s="31" t="s">
        <v>546</v>
      </c>
      <c r="B6" s="550" t="s">
        <v>547</v>
      </c>
      <c r="C6" s="1068" t="s">
        <v>548</v>
      </c>
      <c r="D6" s="1068" t="s">
        <v>601</v>
      </c>
      <c r="E6" s="1068" t="s">
        <v>602</v>
      </c>
    </row>
    <row r="7" spans="1:5" s="318" customFormat="1" ht="12" customHeight="1" thickBot="1" x14ac:dyDescent="0.25">
      <c r="A7" s="19" t="s">
        <v>31</v>
      </c>
      <c r="B7" s="1030" t="s">
        <v>677</v>
      </c>
      <c r="C7" s="1069">
        <v>1350000000</v>
      </c>
      <c r="D7" s="1069">
        <v>1360000000</v>
      </c>
      <c r="E7" s="1069">
        <v>1370000000</v>
      </c>
    </row>
    <row r="8" spans="1:5" s="318" customFormat="1" ht="12" customHeight="1" thickBot="1" x14ac:dyDescent="0.25">
      <c r="A8" s="19" t="s">
        <v>32</v>
      </c>
      <c r="B8" s="1033" t="s">
        <v>390</v>
      </c>
      <c r="C8" s="1069">
        <v>181000000</v>
      </c>
      <c r="D8" s="1069">
        <v>190000000</v>
      </c>
      <c r="E8" s="1069">
        <v>190000000</v>
      </c>
    </row>
    <row r="9" spans="1:5" s="318" customFormat="1" ht="12" customHeight="1" thickBot="1" x14ac:dyDescent="0.25">
      <c r="A9" s="19" t="s">
        <v>33</v>
      </c>
      <c r="B9" s="1030" t="s">
        <v>397</v>
      </c>
      <c r="C9" s="1069">
        <v>300000000</v>
      </c>
      <c r="D9" s="1069">
        <v>450000000</v>
      </c>
      <c r="E9" s="1069">
        <v>300000000</v>
      </c>
    </row>
    <row r="10" spans="1:5" s="318" customFormat="1" ht="12" customHeight="1" thickBot="1" x14ac:dyDescent="0.25">
      <c r="A10" s="19" t="s">
        <v>180</v>
      </c>
      <c r="B10" s="1030" t="s">
        <v>275</v>
      </c>
      <c r="C10" s="1065">
        <f>SUM(C15:C17)+C11</f>
        <v>353500000</v>
      </c>
      <c r="D10" s="1065">
        <f>SUM(D15:D17)+D11</f>
        <v>353500000</v>
      </c>
      <c r="E10" s="1065">
        <f>SUM(E15:E17)+E11</f>
        <v>353500000</v>
      </c>
    </row>
    <row r="11" spans="1:5" s="318" customFormat="1" ht="12" customHeight="1" x14ac:dyDescent="0.2">
      <c r="A11" s="14" t="s">
        <v>276</v>
      </c>
      <c r="B11" s="523" t="s">
        <v>551</v>
      </c>
      <c r="C11" s="1070">
        <f>SUM(C12:C14)</f>
        <v>310000000</v>
      </c>
      <c r="D11" s="1070">
        <f>SUM(D12:D14)</f>
        <v>310000000</v>
      </c>
      <c r="E11" s="1070">
        <f>SUM(E12:E14)</f>
        <v>310000000</v>
      </c>
    </row>
    <row r="12" spans="1:5" s="318" customFormat="1" ht="12" customHeight="1" x14ac:dyDescent="0.2">
      <c r="A12" s="13" t="s">
        <v>279</v>
      </c>
      <c r="B12" s="524" t="s">
        <v>282</v>
      </c>
      <c r="C12" s="1071">
        <v>78000000</v>
      </c>
      <c r="D12" s="1071">
        <v>78000000</v>
      </c>
      <c r="E12" s="1071">
        <v>78000000</v>
      </c>
    </row>
    <row r="13" spans="1:5" s="318" customFormat="1" ht="12" customHeight="1" x14ac:dyDescent="0.2">
      <c r="A13" s="13" t="s">
        <v>280</v>
      </c>
      <c r="B13" s="524" t="s">
        <v>654</v>
      </c>
      <c r="C13" s="1071">
        <v>232000000</v>
      </c>
      <c r="D13" s="1071">
        <v>232000000</v>
      </c>
      <c r="E13" s="1071">
        <v>232000000</v>
      </c>
    </row>
    <row r="14" spans="1:5" s="318" customFormat="1" ht="12" customHeight="1" x14ac:dyDescent="0.2">
      <c r="A14" s="13" t="s">
        <v>281</v>
      </c>
      <c r="B14" s="524" t="s">
        <v>655</v>
      </c>
      <c r="C14" s="1072"/>
      <c r="D14" s="1072"/>
      <c r="E14" s="1072"/>
    </row>
    <row r="15" spans="1:5" s="318" customFormat="1" ht="12" customHeight="1" x14ac:dyDescent="0.2">
      <c r="A15" s="13" t="s">
        <v>657</v>
      </c>
      <c r="B15" s="524" t="s">
        <v>284</v>
      </c>
      <c r="C15" s="1071">
        <v>28000000</v>
      </c>
      <c r="D15" s="1071">
        <v>28000000</v>
      </c>
      <c r="E15" s="1071">
        <v>28000000</v>
      </c>
    </row>
    <row r="16" spans="1:5" s="318" customFormat="1" ht="12" customHeight="1" x14ac:dyDescent="0.2">
      <c r="A16" s="13" t="s">
        <v>673</v>
      </c>
      <c r="B16" s="524" t="s">
        <v>285</v>
      </c>
      <c r="C16" s="1071">
        <v>4500000</v>
      </c>
      <c r="D16" s="1071">
        <v>4500000</v>
      </c>
      <c r="E16" s="1071">
        <v>4500000</v>
      </c>
    </row>
    <row r="17" spans="1:6" s="318" customFormat="1" ht="12" customHeight="1" thickBot="1" x14ac:dyDescent="0.25">
      <c r="A17" s="15" t="s">
        <v>674</v>
      </c>
      <c r="B17" s="525" t="s">
        <v>286</v>
      </c>
      <c r="C17" s="1073">
        <v>11000000</v>
      </c>
      <c r="D17" s="1073">
        <v>11000000</v>
      </c>
      <c r="E17" s="1073">
        <v>11000000</v>
      </c>
    </row>
    <row r="18" spans="1:6" s="318" customFormat="1" ht="12" customHeight="1" thickBot="1" x14ac:dyDescent="0.25">
      <c r="A18" s="19" t="s">
        <v>35</v>
      </c>
      <c r="B18" s="1030" t="s">
        <v>678</v>
      </c>
      <c r="C18" s="1069">
        <v>440000000</v>
      </c>
      <c r="D18" s="1069">
        <v>440000000</v>
      </c>
      <c r="E18" s="1069">
        <v>440000000</v>
      </c>
    </row>
    <row r="19" spans="1:6" s="318" customFormat="1" ht="12" customHeight="1" thickBot="1" x14ac:dyDescent="0.25">
      <c r="A19" s="19" t="s">
        <v>36</v>
      </c>
      <c r="B19" s="1030" t="s">
        <v>22</v>
      </c>
      <c r="C19" s="1069">
        <v>6000000</v>
      </c>
      <c r="D19" s="1069">
        <v>6000000</v>
      </c>
      <c r="E19" s="1069">
        <v>6000000</v>
      </c>
    </row>
    <row r="20" spans="1:6" s="318" customFormat="1" ht="12" customHeight="1" thickBot="1" x14ac:dyDescent="0.25">
      <c r="A20" s="19" t="s">
        <v>187</v>
      </c>
      <c r="B20" s="1030" t="s">
        <v>679</v>
      </c>
      <c r="C20" s="1069">
        <v>2000000</v>
      </c>
      <c r="D20" s="1069">
        <v>2000000</v>
      </c>
      <c r="E20" s="1069">
        <v>2000000</v>
      </c>
    </row>
    <row r="21" spans="1:6" s="318" customFormat="1" ht="12" customHeight="1" thickBot="1" x14ac:dyDescent="0.25">
      <c r="A21" s="19" t="s">
        <v>38</v>
      </c>
      <c r="B21" s="1033" t="s">
        <v>680</v>
      </c>
      <c r="C21" s="1069"/>
      <c r="D21" s="1069"/>
      <c r="E21" s="1069"/>
    </row>
    <row r="22" spans="1:6" s="318" customFormat="1" ht="12" customHeight="1" thickBot="1" x14ac:dyDescent="0.25">
      <c r="A22" s="19" t="s">
        <v>39</v>
      </c>
      <c r="B22" s="1030" t="s">
        <v>319</v>
      </c>
      <c r="C22" s="1065">
        <f>+C7+C8+C9+C10+C18+C19+C20+C21</f>
        <v>2632500000</v>
      </c>
      <c r="D22" s="1065">
        <f>+D7+D8+D9+D10+D18+D19+D20+D21</f>
        <v>2801500000</v>
      </c>
      <c r="E22" s="1065">
        <f>+E7+E8+E9+E10+E18+E19+E20+E21</f>
        <v>2661500000</v>
      </c>
    </row>
    <row r="23" spans="1:6" s="318" customFormat="1" ht="12" customHeight="1" thickBot="1" x14ac:dyDescent="0.25">
      <c r="A23" s="19" t="s">
        <v>40</v>
      </c>
      <c r="B23" s="1030" t="s">
        <v>681</v>
      </c>
      <c r="C23" s="1074">
        <v>400000000</v>
      </c>
      <c r="D23" s="1074">
        <v>400000000</v>
      </c>
      <c r="E23" s="1074">
        <v>400000000</v>
      </c>
    </row>
    <row r="24" spans="1:6" s="318" customFormat="1" ht="12" customHeight="1" thickBot="1" x14ac:dyDescent="0.25">
      <c r="A24" s="19" t="s">
        <v>41</v>
      </c>
      <c r="B24" s="1030" t="s">
        <v>682</v>
      </c>
      <c r="C24" s="1065">
        <f>+C22+C23</f>
        <v>3032500000</v>
      </c>
      <c r="D24" s="1065">
        <f>+D22+D23</f>
        <v>3201500000</v>
      </c>
      <c r="E24" s="1065">
        <f>+E22+E23</f>
        <v>3061500000</v>
      </c>
    </row>
    <row r="25" spans="1:6" s="318" customFormat="1" ht="12" customHeight="1" x14ac:dyDescent="0.2">
      <c r="A25" s="454"/>
      <c r="B25" s="455"/>
      <c r="C25" s="456"/>
      <c r="D25" s="463"/>
      <c r="E25" s="464"/>
    </row>
    <row r="26" spans="1:6" s="318" customFormat="1" ht="12" customHeight="1" x14ac:dyDescent="0.2">
      <c r="A26" s="1171" t="s">
        <v>60</v>
      </c>
      <c r="B26" s="1171"/>
      <c r="C26" s="1171"/>
      <c r="D26" s="1171"/>
      <c r="E26" s="1171"/>
    </row>
    <row r="27" spans="1:6" s="318" customFormat="1" ht="12" customHeight="1" thickBot="1" x14ac:dyDescent="0.25">
      <c r="A27" s="1172" t="s">
        <v>162</v>
      </c>
      <c r="B27" s="1172"/>
      <c r="C27" s="306"/>
      <c r="D27" s="437"/>
      <c r="E27" s="242" t="str">
        <f>E4</f>
        <v>Forintban!</v>
      </c>
    </row>
    <row r="28" spans="1:6" s="318" customFormat="1" ht="24" customHeight="1" thickBot="1" x14ac:dyDescent="0.25">
      <c r="A28" s="22" t="s">
        <v>29</v>
      </c>
      <c r="B28" s="23" t="s">
        <v>61</v>
      </c>
      <c r="C28" s="23" t="str">
        <f>+C5</f>
        <v>2019. évi</v>
      </c>
      <c r="D28" s="23" t="str">
        <f>+D5</f>
        <v>2020. évi</v>
      </c>
      <c r="E28" s="440" t="str">
        <f>+E5</f>
        <v>2021. évi</v>
      </c>
      <c r="F28" s="465"/>
    </row>
    <row r="29" spans="1:6" s="318" customFormat="1" ht="12" customHeight="1" thickBot="1" x14ac:dyDescent="0.25">
      <c r="A29" s="311" t="s">
        <v>546</v>
      </c>
      <c r="B29" s="312" t="s">
        <v>547</v>
      </c>
      <c r="C29" s="312" t="s">
        <v>548</v>
      </c>
      <c r="D29" s="312" t="s">
        <v>601</v>
      </c>
      <c r="E29" s="466" t="s">
        <v>602</v>
      </c>
      <c r="F29" s="465"/>
    </row>
    <row r="30" spans="1:6" s="318" customFormat="1" ht="15" customHeight="1" thickBot="1" x14ac:dyDescent="0.25">
      <c r="A30" s="19" t="s">
        <v>31</v>
      </c>
      <c r="B30" s="24" t="s">
        <v>683</v>
      </c>
      <c r="C30" s="452">
        <v>2420500000</v>
      </c>
      <c r="D30" s="452">
        <v>2430100000</v>
      </c>
      <c r="E30" s="358">
        <v>2430050000</v>
      </c>
      <c r="F30" s="465"/>
    </row>
    <row r="31" spans="1:6" ht="12" customHeight="1" thickBot="1" x14ac:dyDescent="0.3">
      <c r="A31" s="397" t="s">
        <v>32</v>
      </c>
      <c r="B31" s="467" t="s">
        <v>684</v>
      </c>
      <c r="C31" s="468">
        <f>+C32+C33+C34</f>
        <v>457000000</v>
      </c>
      <c r="D31" s="468">
        <f>+D32+D33+D34</f>
        <v>610000000</v>
      </c>
      <c r="E31" s="469">
        <f>+E32+E33+E34</f>
        <v>471850000</v>
      </c>
    </row>
    <row r="32" spans="1:6" ht="12" customHeight="1" x14ac:dyDescent="0.25">
      <c r="A32" s="14" t="s">
        <v>120</v>
      </c>
      <c r="B32" s="7" t="s">
        <v>236</v>
      </c>
      <c r="C32" s="445">
        <v>145000000</v>
      </c>
      <c r="D32" s="445">
        <v>270000000</v>
      </c>
      <c r="E32" s="446">
        <v>299850000</v>
      </c>
    </row>
    <row r="33" spans="1:7" ht="12" customHeight="1" x14ac:dyDescent="0.25">
      <c r="A33" s="14" t="s">
        <v>121</v>
      </c>
      <c r="B33" s="11" t="s">
        <v>194</v>
      </c>
      <c r="C33" s="447">
        <v>292000000</v>
      </c>
      <c r="D33" s="447">
        <v>292000000</v>
      </c>
      <c r="E33" s="217">
        <v>152000000</v>
      </c>
    </row>
    <row r="34" spans="1:7" ht="12" customHeight="1" thickBot="1" x14ac:dyDescent="0.3">
      <c r="A34" s="14" t="s">
        <v>122</v>
      </c>
      <c r="B34" s="230" t="s">
        <v>238</v>
      </c>
      <c r="C34" s="447">
        <v>20000000</v>
      </c>
      <c r="D34" s="447">
        <v>48000000</v>
      </c>
      <c r="E34" s="447">
        <v>20000000</v>
      </c>
    </row>
    <row r="35" spans="1:7" ht="12" customHeight="1" thickBot="1" x14ac:dyDescent="0.3">
      <c r="A35" s="19" t="s">
        <v>33</v>
      </c>
      <c r="B35" s="98" t="s">
        <v>573</v>
      </c>
      <c r="C35" s="442">
        <f>+C30+C31</f>
        <v>2877500000</v>
      </c>
      <c r="D35" s="442">
        <f>+D30+D31</f>
        <v>3040100000</v>
      </c>
      <c r="E35" s="443">
        <f>+E30+E31</f>
        <v>2901900000</v>
      </c>
    </row>
    <row r="36" spans="1:7" ht="15" customHeight="1" thickBot="1" x14ac:dyDescent="0.3">
      <c r="A36" s="19" t="s">
        <v>34</v>
      </c>
      <c r="B36" s="98" t="s">
        <v>685</v>
      </c>
      <c r="C36" s="470">
        <v>155000000</v>
      </c>
      <c r="D36" s="470">
        <v>161400000</v>
      </c>
      <c r="E36" s="471">
        <v>159600000</v>
      </c>
      <c r="F36" s="330"/>
    </row>
    <row r="37" spans="1:7" s="318" customFormat="1" ht="12.95" customHeight="1" thickBot="1" x14ac:dyDescent="0.25">
      <c r="A37" s="231" t="s">
        <v>35</v>
      </c>
      <c r="B37" s="304" t="s">
        <v>686</v>
      </c>
      <c r="C37" s="460">
        <f>+C35+C36</f>
        <v>3032500000</v>
      </c>
      <c r="D37" s="460">
        <f>+D35+D36</f>
        <v>3201500000</v>
      </c>
      <c r="E37" s="461">
        <f>+E35+E36</f>
        <v>3061500000</v>
      </c>
    </row>
    <row r="38" spans="1:7" x14ac:dyDescent="0.25">
      <c r="C38" s="305"/>
    </row>
    <row r="39" spans="1:7" x14ac:dyDescent="0.25">
      <c r="C39" s="305"/>
    </row>
    <row r="40" spans="1:7" x14ac:dyDescent="0.25">
      <c r="C40" s="305"/>
    </row>
    <row r="41" spans="1:7" ht="16.5" customHeight="1" x14ac:dyDescent="0.25">
      <c r="C41" s="305"/>
    </row>
    <row r="42" spans="1:7" x14ac:dyDescent="0.25">
      <c r="C42" s="305"/>
    </row>
    <row r="43" spans="1:7" x14ac:dyDescent="0.25">
      <c r="C43" s="305"/>
    </row>
    <row r="44" spans="1:7" s="305" customFormat="1" x14ac:dyDescent="0.25">
      <c r="F44" s="316"/>
      <c r="G44" s="316"/>
    </row>
    <row r="45" spans="1:7" s="305" customFormat="1" x14ac:dyDescent="0.25">
      <c r="F45" s="316"/>
      <c r="G45" s="316"/>
    </row>
    <row r="46" spans="1:7" s="305" customFormat="1" x14ac:dyDescent="0.25">
      <c r="F46" s="316"/>
      <c r="G46" s="316"/>
    </row>
    <row r="47" spans="1:7" s="305" customFormat="1" x14ac:dyDescent="0.25">
      <c r="F47" s="316"/>
      <c r="G47" s="316"/>
    </row>
    <row r="48" spans="1:7" s="305" customFormat="1" x14ac:dyDescent="0.25">
      <c r="F48" s="316"/>
      <c r="G48" s="316"/>
    </row>
    <row r="49" spans="6:7" s="305" customFormat="1" x14ac:dyDescent="0.25">
      <c r="F49" s="316"/>
      <c r="G49" s="316"/>
    </row>
    <row r="50" spans="6:7" s="305" customFormat="1" x14ac:dyDescent="0.25">
      <c r="F50" s="316"/>
      <c r="G50" s="316"/>
    </row>
  </sheetData>
  <mergeCells count="5">
    <mergeCell ref="A3:E3"/>
    <mergeCell ref="A4:B4"/>
    <mergeCell ref="A26:E26"/>
    <mergeCell ref="A27:B27"/>
    <mergeCell ref="A1:E1"/>
  </mergeCells>
  <phoneticPr fontId="29" type="noConversion"/>
  <pageMargins left="0.75" right="0.75" top="1" bottom="1" header="0.5" footer="0.5"/>
  <pageSetup paperSize="9" scale="78" orientation="portrait" r:id="rId1"/>
  <headerFooter alignWithMargins="0">
    <oddHeader xml:space="preserve">&amp;R8. számú tájékoztató tábla a ../......(......) önkormányzati rendelethez  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="85" zoomScaleNormal="100" zoomScaleSheetLayoutView="100" zoomScalePageLayoutView="85" workbookViewId="0">
      <selection activeCell="D41" sqref="D41"/>
    </sheetView>
  </sheetViews>
  <sheetFormatPr defaultRowHeight="12.75" x14ac:dyDescent="0.2"/>
  <cols>
    <col min="1" max="1" width="6.83203125" style="48" customWidth="1"/>
    <col min="2" max="2" width="55.1640625" style="137" customWidth="1"/>
    <col min="3" max="3" width="16" style="48" bestFit="1" customWidth="1"/>
    <col min="4" max="4" width="55.1640625" style="48" customWidth="1"/>
    <col min="5" max="5" width="16.33203125" style="48" customWidth="1"/>
    <col min="6" max="6" width="4.83203125" style="48" customWidth="1"/>
    <col min="7" max="16384" width="9.33203125" style="48"/>
  </cols>
  <sheetData>
    <row r="1" spans="1:6" ht="39.75" customHeight="1" x14ac:dyDescent="0.2">
      <c r="B1" s="249" t="s">
        <v>166</v>
      </c>
      <c r="C1" s="250"/>
      <c r="D1" s="250"/>
      <c r="E1" s="250"/>
      <c r="F1" s="1175"/>
    </row>
    <row r="2" spans="1:6" ht="14.25" thickBot="1" x14ac:dyDescent="0.25">
      <c r="E2" s="251" t="s">
        <v>693</v>
      </c>
      <c r="F2" s="1175"/>
    </row>
    <row r="3" spans="1:6" ht="18" customHeight="1" thickBot="1" x14ac:dyDescent="0.25">
      <c r="A3" s="1176" t="s">
        <v>84</v>
      </c>
      <c r="B3" s="252" t="s">
        <v>70</v>
      </c>
      <c r="C3" s="253"/>
      <c r="D3" s="252" t="s">
        <v>71</v>
      </c>
      <c r="E3" s="254"/>
      <c r="F3" s="1175"/>
    </row>
    <row r="4" spans="1:6" s="255" customFormat="1" ht="35.25" customHeight="1" thickBot="1" x14ac:dyDescent="0.25">
      <c r="A4" s="1177"/>
      <c r="B4" s="138" t="s">
        <v>76</v>
      </c>
      <c r="C4" s="37" t="s">
        <v>730</v>
      </c>
      <c r="D4" s="138" t="s">
        <v>76</v>
      </c>
      <c r="E4" s="47" t="str">
        <f>+C4</f>
        <v>2018.évi előirányzat</v>
      </c>
      <c r="F4" s="1175"/>
    </row>
    <row r="5" spans="1:6" s="260" customFormat="1" ht="12" customHeight="1" thickBot="1" x14ac:dyDescent="0.25">
      <c r="A5" s="256" t="s">
        <v>546</v>
      </c>
      <c r="B5" s="257" t="s">
        <v>547</v>
      </c>
      <c r="C5" s="258" t="s">
        <v>548</v>
      </c>
      <c r="D5" s="257" t="s">
        <v>601</v>
      </c>
      <c r="E5" s="259" t="s">
        <v>602</v>
      </c>
      <c r="F5" s="1175"/>
    </row>
    <row r="6" spans="1:6" ht="12.95" customHeight="1" x14ac:dyDescent="0.2">
      <c r="A6" s="261" t="s">
        <v>31</v>
      </c>
      <c r="B6" s="262" t="s">
        <v>389</v>
      </c>
      <c r="C6" s="700">
        <v>1317581468</v>
      </c>
      <c r="D6" s="278" t="s">
        <v>77</v>
      </c>
      <c r="E6" s="57">
        <v>972189321</v>
      </c>
      <c r="F6" s="1175"/>
    </row>
    <row r="7" spans="1:6" ht="12.95" customHeight="1" x14ac:dyDescent="0.2">
      <c r="A7" s="263" t="s">
        <v>32</v>
      </c>
      <c r="B7" s="264" t="s">
        <v>390</v>
      </c>
      <c r="C7" s="59">
        <v>180965882</v>
      </c>
      <c r="D7" s="268" t="s">
        <v>190</v>
      </c>
      <c r="E7" s="60">
        <v>205103347</v>
      </c>
      <c r="F7" s="1175"/>
    </row>
    <row r="8" spans="1:6" ht="12.95" customHeight="1" x14ac:dyDescent="0.2">
      <c r="A8" s="263" t="s">
        <v>33</v>
      </c>
      <c r="B8" s="264" t="s">
        <v>410</v>
      </c>
      <c r="C8" s="59">
        <v>399535</v>
      </c>
      <c r="D8" s="268" t="s">
        <v>241</v>
      </c>
      <c r="E8" s="60">
        <v>914471448</v>
      </c>
      <c r="F8" s="1175"/>
    </row>
    <row r="9" spans="1:6" ht="12.95" customHeight="1" x14ac:dyDescent="0.2">
      <c r="A9" s="263" t="s">
        <v>34</v>
      </c>
      <c r="B9" s="264" t="s">
        <v>181</v>
      </c>
      <c r="C9" s="59">
        <v>352658000</v>
      </c>
      <c r="D9" s="268" t="s">
        <v>191</v>
      </c>
      <c r="E9" s="60">
        <v>97250000</v>
      </c>
      <c r="F9" s="1175"/>
    </row>
    <row r="10" spans="1:6" ht="12.95" customHeight="1" x14ac:dyDescent="0.2">
      <c r="A10" s="263" t="s">
        <v>35</v>
      </c>
      <c r="B10" s="265" t="s">
        <v>435</v>
      </c>
      <c r="C10" s="59">
        <v>431324867</v>
      </c>
      <c r="D10" s="268" t="s">
        <v>192</v>
      </c>
      <c r="E10" s="60">
        <v>148261084</v>
      </c>
      <c r="F10" s="1175"/>
    </row>
    <row r="11" spans="1:6" ht="12.95" customHeight="1" x14ac:dyDescent="0.2">
      <c r="A11" s="263" t="s">
        <v>36</v>
      </c>
      <c r="B11" s="264" t="s">
        <v>391</v>
      </c>
      <c r="C11" s="421">
        <v>4766000</v>
      </c>
      <c r="D11" s="268" t="s">
        <v>63</v>
      </c>
      <c r="E11" s="60">
        <f>80846522-11834524</f>
        <v>69011998</v>
      </c>
      <c r="F11" s="1175"/>
    </row>
    <row r="12" spans="1:6" ht="12.95" customHeight="1" x14ac:dyDescent="0.2">
      <c r="A12" s="263" t="s">
        <v>37</v>
      </c>
      <c r="B12" s="264" t="s">
        <v>603</v>
      </c>
      <c r="C12" s="59"/>
      <c r="D12" s="530"/>
      <c r="E12" s="60"/>
      <c r="F12" s="1175"/>
    </row>
    <row r="13" spans="1:6" ht="12.95" customHeight="1" x14ac:dyDescent="0.2">
      <c r="A13" s="263" t="s">
        <v>38</v>
      </c>
      <c r="B13" s="42"/>
      <c r="C13" s="59"/>
      <c r="D13" s="530"/>
      <c r="E13" s="60"/>
      <c r="F13" s="1175"/>
    </row>
    <row r="14" spans="1:6" ht="12.95" customHeight="1" x14ac:dyDescent="0.2">
      <c r="A14" s="263" t="s">
        <v>39</v>
      </c>
      <c r="B14" s="331"/>
      <c r="C14" s="421"/>
      <c r="D14" s="530"/>
      <c r="E14" s="60"/>
      <c r="F14" s="1175"/>
    </row>
    <row r="15" spans="1:6" ht="12.95" customHeight="1" x14ac:dyDescent="0.2">
      <c r="A15" s="263" t="s">
        <v>40</v>
      </c>
      <c r="B15" s="42"/>
      <c r="C15" s="59"/>
      <c r="D15" s="530"/>
      <c r="E15" s="60"/>
      <c r="F15" s="1175"/>
    </row>
    <row r="16" spans="1:6" ht="12.95" customHeight="1" x14ac:dyDescent="0.2">
      <c r="A16" s="263" t="s">
        <v>41</v>
      </c>
      <c r="B16" s="42"/>
      <c r="C16" s="59"/>
      <c r="D16" s="42"/>
      <c r="E16" s="60"/>
      <c r="F16" s="1175"/>
    </row>
    <row r="17" spans="1:6" ht="12.95" customHeight="1" thickBot="1" x14ac:dyDescent="0.25">
      <c r="A17" s="263" t="s">
        <v>42</v>
      </c>
      <c r="B17" s="49"/>
      <c r="C17" s="955"/>
      <c r="D17" s="42"/>
      <c r="E17" s="246"/>
      <c r="F17" s="1175"/>
    </row>
    <row r="18" spans="1:6" ht="15.95" customHeight="1" thickBot="1" x14ac:dyDescent="0.25">
      <c r="A18" s="266" t="s">
        <v>43</v>
      </c>
      <c r="B18" s="99" t="s">
        <v>604</v>
      </c>
      <c r="C18" s="243">
        <f>SUM(C6:C17)-C8</f>
        <v>2287296217</v>
      </c>
      <c r="D18" s="99" t="s">
        <v>396</v>
      </c>
      <c r="E18" s="247">
        <f>SUM(E6:E17)</f>
        <v>2406287198</v>
      </c>
      <c r="F18" s="1175"/>
    </row>
    <row r="19" spans="1:6" ht="12.95" customHeight="1" x14ac:dyDescent="0.2">
      <c r="A19" s="766" t="s">
        <v>44</v>
      </c>
      <c r="B19" s="267" t="s">
        <v>393</v>
      </c>
      <c r="C19" s="362">
        <f>SUM(C20:C23)</f>
        <v>595229853</v>
      </c>
      <c r="D19" s="268" t="s">
        <v>198</v>
      </c>
      <c r="E19" s="248"/>
      <c r="F19" s="1175"/>
    </row>
    <row r="20" spans="1:6" ht="12.95" customHeight="1" x14ac:dyDescent="0.2">
      <c r="A20" s="767" t="s">
        <v>45</v>
      </c>
      <c r="B20" s="268" t="s">
        <v>234</v>
      </c>
      <c r="C20" s="59">
        <v>595229853</v>
      </c>
      <c r="D20" s="268" t="s">
        <v>395</v>
      </c>
      <c r="E20" s="60">
        <v>100000000</v>
      </c>
      <c r="F20" s="1175"/>
    </row>
    <row r="21" spans="1:6" ht="12.95" customHeight="1" x14ac:dyDescent="0.2">
      <c r="A21" s="767" t="s">
        <v>46</v>
      </c>
      <c r="B21" s="268" t="s">
        <v>235</v>
      </c>
      <c r="C21" s="59"/>
      <c r="D21" s="268" t="s">
        <v>164</v>
      </c>
      <c r="E21" s="60"/>
      <c r="F21" s="1175"/>
    </row>
    <row r="22" spans="1:6" ht="12.95" customHeight="1" x14ac:dyDescent="0.2">
      <c r="A22" s="767" t="s">
        <v>47</v>
      </c>
      <c r="B22" s="268" t="s">
        <v>239</v>
      </c>
      <c r="C22" s="59"/>
      <c r="D22" s="268" t="s">
        <v>165</v>
      </c>
      <c r="E22" s="60"/>
      <c r="F22" s="1175"/>
    </row>
    <row r="23" spans="1:6" ht="12.95" customHeight="1" x14ac:dyDescent="0.2">
      <c r="A23" s="767" t="s">
        <v>48</v>
      </c>
      <c r="B23" s="268" t="s">
        <v>240</v>
      </c>
      <c r="C23" s="59"/>
      <c r="D23" s="267" t="s">
        <v>242</v>
      </c>
      <c r="E23" s="60"/>
      <c r="F23" s="1175"/>
    </row>
    <row r="24" spans="1:6" ht="12.95" customHeight="1" x14ac:dyDescent="0.2">
      <c r="A24" s="767" t="s">
        <v>49</v>
      </c>
      <c r="B24" s="268" t="s">
        <v>394</v>
      </c>
      <c r="C24" s="269">
        <f>SUM(C25:C28)</f>
        <v>100000000</v>
      </c>
      <c r="D24" s="268" t="s">
        <v>199</v>
      </c>
      <c r="E24" s="60"/>
      <c r="F24" s="1175"/>
    </row>
    <row r="25" spans="1:6" ht="12.95" customHeight="1" x14ac:dyDescent="0.2">
      <c r="A25" s="766" t="s">
        <v>50</v>
      </c>
      <c r="B25" s="267" t="s">
        <v>392</v>
      </c>
      <c r="C25" s="244">
        <v>100000000</v>
      </c>
      <c r="D25" s="262" t="s">
        <v>586</v>
      </c>
      <c r="E25" s="248"/>
      <c r="F25" s="1175"/>
    </row>
    <row r="26" spans="1:6" ht="12.95" customHeight="1" x14ac:dyDescent="0.2">
      <c r="A26" s="767" t="s">
        <v>51</v>
      </c>
      <c r="B26" s="268" t="s">
        <v>605</v>
      </c>
      <c r="C26" s="59"/>
      <c r="D26" s="264" t="s">
        <v>594</v>
      </c>
      <c r="E26" s="60"/>
      <c r="F26" s="1175"/>
    </row>
    <row r="27" spans="1:6" ht="12.95" customHeight="1" x14ac:dyDescent="0.2">
      <c r="A27" s="263" t="s">
        <v>52</v>
      </c>
      <c r="B27" s="268" t="s">
        <v>559</v>
      </c>
      <c r="C27" s="59"/>
      <c r="D27" s="264" t="s">
        <v>595</v>
      </c>
      <c r="E27" s="60"/>
      <c r="F27" s="1175"/>
    </row>
    <row r="28" spans="1:6" ht="12.95" customHeight="1" thickBot="1" x14ac:dyDescent="0.25">
      <c r="A28" s="307" t="s">
        <v>53</v>
      </c>
      <c r="B28" s="267" t="s">
        <v>350</v>
      </c>
      <c r="C28" s="244"/>
      <c r="D28" s="332" t="s">
        <v>670</v>
      </c>
      <c r="E28" s="248">
        <v>38167591</v>
      </c>
      <c r="F28" s="1175"/>
    </row>
    <row r="29" spans="1:6" ht="13.5" customHeight="1" thickBot="1" x14ac:dyDescent="0.25">
      <c r="A29" s="266" t="s">
        <v>54</v>
      </c>
      <c r="B29" s="99" t="s">
        <v>606</v>
      </c>
      <c r="C29" s="243">
        <f>+C19+C24+C27+C28</f>
        <v>695229853</v>
      </c>
      <c r="D29" s="99" t="s">
        <v>607</v>
      </c>
      <c r="E29" s="247">
        <f>SUM(E19:E28)</f>
        <v>138167591</v>
      </c>
      <c r="F29" s="1175"/>
    </row>
    <row r="30" spans="1:6" ht="13.5" thickBot="1" x14ac:dyDescent="0.25">
      <c r="A30" s="266" t="s">
        <v>55</v>
      </c>
      <c r="B30" s="270" t="s">
        <v>608</v>
      </c>
      <c r="C30" s="551">
        <f>+C18+C29</f>
        <v>2982526070</v>
      </c>
      <c r="D30" s="270" t="s">
        <v>609</v>
      </c>
      <c r="E30" s="551">
        <f>E29+E18</f>
        <v>2544454789</v>
      </c>
      <c r="F30" s="1175"/>
    </row>
    <row r="31" spans="1:6" ht="13.5" thickBot="1" x14ac:dyDescent="0.25">
      <c r="A31" s="266" t="s">
        <v>56</v>
      </c>
      <c r="B31" s="270" t="s">
        <v>176</v>
      </c>
      <c r="C31" s="551">
        <f>IF(C18-E18&lt;0,E18-C18,"-")</f>
        <v>118990981</v>
      </c>
      <c r="D31" s="270" t="s">
        <v>177</v>
      </c>
      <c r="E31" s="551" t="str">
        <f>IF(C18-E18&gt;0,C18-E18,"-")</f>
        <v>-</v>
      </c>
      <c r="F31" s="1175"/>
    </row>
    <row r="32" spans="1:6" ht="13.5" thickBot="1" x14ac:dyDescent="0.25">
      <c r="A32" s="266" t="s">
        <v>57</v>
      </c>
      <c r="B32" s="270" t="s">
        <v>243</v>
      </c>
      <c r="C32" s="271" t="str">
        <f>IF(C30-E30&lt;0,E30-C30,"-")</f>
        <v>-</v>
      </c>
      <c r="D32" s="270" t="s">
        <v>244</v>
      </c>
      <c r="E32" s="551">
        <f>IF(C30-E30&gt;0,C30-E30,"-")</f>
        <v>438071281</v>
      </c>
      <c r="F32" s="1175"/>
    </row>
    <row r="33" spans="2:4" ht="18.75" x14ac:dyDescent="0.2">
      <c r="B33" s="1178"/>
      <c r="C33" s="1178"/>
      <c r="D33" s="1178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 xml:space="preserve">&amp;R&amp;"Times New Roman CE,Félkövér dőlt"&amp;11 2.1. melléklet a ../.....(......) önkormányzati rendelethez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E1" sqref="E1"/>
    </sheetView>
  </sheetViews>
  <sheetFormatPr defaultRowHeight="12.75" x14ac:dyDescent="0.2"/>
  <cols>
    <col min="1" max="1" width="6.83203125" style="48" customWidth="1"/>
    <col min="2" max="2" width="55.1640625" style="137" customWidth="1"/>
    <col min="3" max="3" width="16.33203125" style="48" customWidth="1"/>
    <col min="4" max="4" width="55.1640625" style="48" customWidth="1"/>
    <col min="5" max="5" width="16.33203125" style="48" customWidth="1"/>
    <col min="6" max="6" width="4.83203125" style="48" customWidth="1"/>
    <col min="7" max="16384" width="9.33203125" style="48"/>
  </cols>
  <sheetData>
    <row r="1" spans="1:6" ht="31.5" x14ac:dyDescent="0.2">
      <c r="B1" s="249" t="s">
        <v>726</v>
      </c>
      <c r="C1" s="250"/>
      <c r="D1" s="250" t="s">
        <v>727</v>
      </c>
      <c r="E1" s="1169"/>
      <c r="F1" s="1175"/>
    </row>
    <row r="2" spans="1:6" ht="14.25" thickBot="1" x14ac:dyDescent="0.25">
      <c r="E2" s="251" t="s">
        <v>693</v>
      </c>
      <c r="F2" s="1175"/>
    </row>
    <row r="3" spans="1:6" ht="13.5" thickBot="1" x14ac:dyDescent="0.25">
      <c r="A3" s="1179" t="s">
        <v>84</v>
      </c>
      <c r="B3" s="252" t="s">
        <v>70</v>
      </c>
      <c r="C3" s="253"/>
      <c r="D3" s="252" t="s">
        <v>71</v>
      </c>
      <c r="E3" s="254"/>
      <c r="F3" s="1175"/>
    </row>
    <row r="4" spans="1:6" s="255" customFormat="1" ht="24.75" thickBot="1" x14ac:dyDescent="0.25">
      <c r="A4" s="1180"/>
      <c r="B4" s="138" t="s">
        <v>76</v>
      </c>
      <c r="C4" s="37" t="s">
        <v>729</v>
      </c>
      <c r="D4" s="138" t="s">
        <v>76</v>
      </c>
      <c r="E4" s="37" t="s">
        <v>729</v>
      </c>
      <c r="F4" s="1175"/>
    </row>
    <row r="5" spans="1:6" s="255" customFormat="1" ht="13.5" thickBot="1" x14ac:dyDescent="0.25">
      <c r="A5" s="256" t="s">
        <v>546</v>
      </c>
      <c r="B5" s="257" t="s">
        <v>547</v>
      </c>
      <c r="C5" s="258" t="s">
        <v>548</v>
      </c>
      <c r="D5" s="257" t="s">
        <v>601</v>
      </c>
      <c r="E5" s="259" t="s">
        <v>602</v>
      </c>
      <c r="F5" s="1175"/>
    </row>
    <row r="6" spans="1:6" ht="12.95" customHeight="1" x14ac:dyDescent="0.2">
      <c r="A6" s="261" t="s">
        <v>31</v>
      </c>
      <c r="B6" s="262" t="s">
        <v>397</v>
      </c>
      <c r="C6" s="700">
        <v>13442271</v>
      </c>
      <c r="D6" s="278" t="s">
        <v>236</v>
      </c>
      <c r="E6" s="57">
        <v>306481603</v>
      </c>
      <c r="F6" s="1175"/>
    </row>
    <row r="7" spans="1:6" ht="12.75" customHeight="1" x14ac:dyDescent="0.2">
      <c r="A7" s="263" t="s">
        <v>32</v>
      </c>
      <c r="B7" s="264" t="s">
        <v>398</v>
      </c>
      <c r="C7" s="59">
        <v>13442371</v>
      </c>
      <c r="D7" s="268" t="s">
        <v>403</v>
      </c>
      <c r="E7" s="451">
        <v>266452313</v>
      </c>
      <c r="F7" s="1175"/>
    </row>
    <row r="8" spans="1:6" ht="12.95" customHeight="1" x14ac:dyDescent="0.2">
      <c r="A8" s="263" t="s">
        <v>33</v>
      </c>
      <c r="B8" s="264" t="s">
        <v>22</v>
      </c>
      <c r="C8" s="59">
        <v>30332500</v>
      </c>
      <c r="D8" s="268" t="s">
        <v>194</v>
      </c>
      <c r="E8" s="60">
        <v>182810962</v>
      </c>
      <c r="F8" s="1175"/>
    </row>
    <row r="9" spans="1:6" ht="12.95" customHeight="1" x14ac:dyDescent="0.2">
      <c r="A9" s="263" t="s">
        <v>34</v>
      </c>
      <c r="B9" s="264" t="s">
        <v>399</v>
      </c>
      <c r="C9" s="59"/>
      <c r="D9" s="268" t="s">
        <v>404</v>
      </c>
      <c r="E9" s="411">
        <v>146098020</v>
      </c>
      <c r="F9" s="1175"/>
    </row>
    <row r="10" spans="1:6" ht="12.75" customHeight="1" x14ac:dyDescent="0.2">
      <c r="A10" s="263" t="s">
        <v>35</v>
      </c>
      <c r="B10" s="264" t="s">
        <v>400</v>
      </c>
      <c r="C10" s="59"/>
      <c r="D10" s="268" t="s">
        <v>238</v>
      </c>
      <c r="E10" s="60">
        <v>65710721</v>
      </c>
      <c r="F10" s="1175"/>
    </row>
    <row r="11" spans="1:6" ht="12.95" customHeight="1" x14ac:dyDescent="0.2">
      <c r="A11" s="263" t="s">
        <v>36</v>
      </c>
      <c r="B11" s="264" t="s">
        <v>401</v>
      </c>
      <c r="C11" s="421"/>
      <c r="D11" s="401"/>
      <c r="E11" s="60"/>
      <c r="F11" s="1175"/>
    </row>
    <row r="12" spans="1:6" ht="12.95" customHeight="1" x14ac:dyDescent="0.2">
      <c r="A12" s="263" t="s">
        <v>37</v>
      </c>
      <c r="B12" s="42"/>
      <c r="C12" s="59"/>
      <c r="D12" s="401"/>
      <c r="E12" s="60"/>
      <c r="F12" s="1175"/>
    </row>
    <row r="13" spans="1:6" ht="12.95" customHeight="1" x14ac:dyDescent="0.2">
      <c r="A13" s="263" t="s">
        <v>38</v>
      </c>
      <c r="B13" s="42"/>
      <c r="C13" s="59"/>
      <c r="D13" s="401"/>
      <c r="E13" s="60"/>
      <c r="F13" s="1175"/>
    </row>
    <row r="14" spans="1:6" ht="12.95" customHeight="1" x14ac:dyDescent="0.2">
      <c r="A14" s="263" t="s">
        <v>39</v>
      </c>
      <c r="B14" s="402"/>
      <c r="C14" s="421"/>
      <c r="D14" s="401"/>
      <c r="E14" s="60"/>
      <c r="F14" s="1175"/>
    </row>
    <row r="15" spans="1:6" x14ac:dyDescent="0.2">
      <c r="A15" s="263" t="s">
        <v>40</v>
      </c>
      <c r="B15" s="42"/>
      <c r="C15" s="421"/>
      <c r="D15" s="401"/>
      <c r="E15" s="60"/>
      <c r="F15" s="1175"/>
    </row>
    <row r="16" spans="1:6" ht="12.95" customHeight="1" thickBot="1" x14ac:dyDescent="0.25">
      <c r="A16" s="307" t="s">
        <v>41</v>
      </c>
      <c r="B16" s="332"/>
      <c r="C16" s="531"/>
      <c r="D16" s="267" t="s">
        <v>63</v>
      </c>
      <c r="E16" s="248">
        <v>11834524</v>
      </c>
      <c r="F16" s="1175"/>
    </row>
    <row r="17" spans="1:6" ht="15.95" customHeight="1" thickBot="1" x14ac:dyDescent="0.25">
      <c r="A17" s="266" t="s">
        <v>42</v>
      </c>
      <c r="B17" s="99" t="s">
        <v>411</v>
      </c>
      <c r="C17" s="243">
        <f>+C6+C8+C9+C11+C12+C13+C14+C15+C16</f>
        <v>43774771</v>
      </c>
      <c r="D17" s="99" t="s">
        <v>412</v>
      </c>
      <c r="E17" s="247">
        <f>+E6+E8+E10+E11+E12+E13+E14+E15+E16</f>
        <v>566837810</v>
      </c>
      <c r="F17" s="1175"/>
    </row>
    <row r="18" spans="1:6" ht="12.95" customHeight="1" x14ac:dyDescent="0.2">
      <c r="A18" s="261" t="s">
        <v>43</v>
      </c>
      <c r="B18" s="274" t="s">
        <v>256</v>
      </c>
      <c r="C18" s="281">
        <f>+C19+C20+C21+C22+C23</f>
        <v>0</v>
      </c>
      <c r="D18" s="268" t="s">
        <v>198</v>
      </c>
      <c r="E18" s="57"/>
      <c r="F18" s="1175"/>
    </row>
    <row r="19" spans="1:6" ht="12.95" customHeight="1" x14ac:dyDescent="0.2">
      <c r="A19" s="263" t="s">
        <v>44</v>
      </c>
      <c r="B19" s="275" t="s">
        <v>245</v>
      </c>
      <c r="C19" s="59"/>
      <c r="D19" s="268" t="s">
        <v>201</v>
      </c>
      <c r="E19" s="60"/>
      <c r="F19" s="1175"/>
    </row>
    <row r="20" spans="1:6" ht="12.95" customHeight="1" x14ac:dyDescent="0.2">
      <c r="A20" s="261" t="s">
        <v>45</v>
      </c>
      <c r="B20" s="275" t="s">
        <v>246</v>
      </c>
      <c r="C20" s="59"/>
      <c r="D20" s="268" t="s">
        <v>164</v>
      </c>
      <c r="E20" s="60"/>
      <c r="F20" s="1175"/>
    </row>
    <row r="21" spans="1:6" ht="12.95" customHeight="1" x14ac:dyDescent="0.2">
      <c r="A21" s="263" t="s">
        <v>46</v>
      </c>
      <c r="B21" s="275" t="s">
        <v>247</v>
      </c>
      <c r="C21" s="59"/>
      <c r="D21" s="268" t="s">
        <v>165</v>
      </c>
      <c r="E21" s="60">
        <v>8486704</v>
      </c>
      <c r="F21" s="1175"/>
    </row>
    <row r="22" spans="1:6" ht="12.95" customHeight="1" x14ac:dyDescent="0.2">
      <c r="A22" s="261" t="s">
        <v>47</v>
      </c>
      <c r="B22" s="275" t="s">
        <v>248</v>
      </c>
      <c r="C22" s="59"/>
      <c r="D22" s="267" t="s">
        <v>242</v>
      </c>
      <c r="E22" s="60"/>
      <c r="F22" s="1175"/>
    </row>
    <row r="23" spans="1:6" ht="12.95" customHeight="1" x14ac:dyDescent="0.2">
      <c r="A23" s="263" t="s">
        <v>48</v>
      </c>
      <c r="B23" s="276" t="s">
        <v>249</v>
      </c>
      <c r="C23" s="59"/>
      <c r="D23" s="268" t="s">
        <v>202</v>
      </c>
      <c r="E23" s="60"/>
      <c r="F23" s="1175"/>
    </row>
    <row r="24" spans="1:6" ht="12.95" customHeight="1" x14ac:dyDescent="0.2">
      <c r="A24" s="261" t="s">
        <v>49</v>
      </c>
      <c r="B24" s="277" t="s">
        <v>250</v>
      </c>
      <c r="C24" s="956">
        <f>+C25+C26+C27+C28+C29</f>
        <v>93478462</v>
      </c>
      <c r="D24" s="278" t="s">
        <v>200</v>
      </c>
      <c r="E24" s="60"/>
      <c r="F24" s="1175"/>
    </row>
    <row r="25" spans="1:6" ht="12.95" customHeight="1" x14ac:dyDescent="0.2">
      <c r="A25" s="263" t="s">
        <v>50</v>
      </c>
      <c r="B25" s="276" t="s">
        <v>251</v>
      </c>
      <c r="C25" s="59">
        <v>93478462</v>
      </c>
      <c r="D25" s="278" t="s">
        <v>405</v>
      </c>
      <c r="E25" s="60"/>
      <c r="F25" s="1175"/>
    </row>
    <row r="26" spans="1:6" ht="12.95" customHeight="1" x14ac:dyDescent="0.2">
      <c r="A26" s="261" t="s">
        <v>51</v>
      </c>
      <c r="B26" s="276" t="s">
        <v>252</v>
      </c>
      <c r="C26" s="59"/>
      <c r="D26" s="273"/>
      <c r="E26" s="60"/>
      <c r="F26" s="1175"/>
    </row>
    <row r="27" spans="1:6" ht="12.95" customHeight="1" x14ac:dyDescent="0.2">
      <c r="A27" s="263" t="s">
        <v>52</v>
      </c>
      <c r="B27" s="275" t="s">
        <v>253</v>
      </c>
      <c r="C27" s="59"/>
      <c r="D27" s="273"/>
      <c r="E27" s="60"/>
      <c r="F27" s="1175"/>
    </row>
    <row r="28" spans="1:6" ht="12.95" customHeight="1" x14ac:dyDescent="0.2">
      <c r="A28" s="261" t="s">
        <v>53</v>
      </c>
      <c r="B28" s="279" t="s">
        <v>254</v>
      </c>
      <c r="C28" s="59"/>
      <c r="D28" s="530"/>
      <c r="E28" s="60"/>
      <c r="F28" s="1175"/>
    </row>
    <row r="29" spans="1:6" ht="12.95" customHeight="1" thickBot="1" x14ac:dyDescent="0.25">
      <c r="A29" s="263" t="s">
        <v>54</v>
      </c>
      <c r="B29" s="280" t="s">
        <v>255</v>
      </c>
      <c r="C29" s="59"/>
      <c r="D29" s="273"/>
      <c r="E29" s="60"/>
      <c r="F29" s="1175"/>
    </row>
    <row r="30" spans="1:6" ht="21.75" customHeight="1" thickBot="1" x14ac:dyDescent="0.25">
      <c r="A30" s="266" t="s">
        <v>55</v>
      </c>
      <c r="B30" s="99" t="s">
        <v>402</v>
      </c>
      <c r="C30" s="243">
        <f>+C18+C24</f>
        <v>93478462</v>
      </c>
      <c r="D30" s="99" t="s">
        <v>406</v>
      </c>
      <c r="E30" s="247">
        <f>SUM(E18:E29)</f>
        <v>8486704</v>
      </c>
      <c r="F30" s="1175"/>
    </row>
    <row r="31" spans="1:6" ht="13.5" thickBot="1" x14ac:dyDescent="0.25">
      <c r="A31" s="266" t="s">
        <v>56</v>
      </c>
      <c r="B31" s="270" t="s">
        <v>407</v>
      </c>
      <c r="C31" s="271">
        <f>+C17+C30</f>
        <v>137253233</v>
      </c>
      <c r="D31" s="270" t="s">
        <v>408</v>
      </c>
      <c r="E31" s="271">
        <f>+E17+E30</f>
        <v>575324514</v>
      </c>
      <c r="F31" s="1175"/>
    </row>
    <row r="32" spans="1:6" ht="13.5" thickBot="1" x14ac:dyDescent="0.25">
      <c r="A32" s="266" t="s">
        <v>57</v>
      </c>
      <c r="B32" s="270" t="s">
        <v>176</v>
      </c>
      <c r="C32" s="271">
        <f>IF(C17-E17&lt;0,E17-C17,"-")</f>
        <v>523063039</v>
      </c>
      <c r="D32" s="270" t="s">
        <v>177</v>
      </c>
      <c r="E32" s="271" t="str">
        <f>IF(C17-E17&gt;0,C17-E17,"-")</f>
        <v>-</v>
      </c>
      <c r="F32" s="1175"/>
    </row>
    <row r="33" spans="1:6" ht="13.5" thickBot="1" x14ac:dyDescent="0.25">
      <c r="A33" s="266" t="s">
        <v>58</v>
      </c>
      <c r="B33" s="270" t="s">
        <v>243</v>
      </c>
      <c r="C33" s="271">
        <f>IF(C31-E31&lt;0,E31-C31,"-")</f>
        <v>438071281</v>
      </c>
      <c r="D33" s="270" t="s">
        <v>244</v>
      </c>
      <c r="E33" s="271" t="str">
        <f>IF(C31-E31&gt;0,C31-E31,"-")</f>
        <v>-</v>
      </c>
      <c r="F33" s="1175"/>
    </row>
    <row r="34" spans="1:6" x14ac:dyDescent="0.2">
      <c r="C34" s="768"/>
      <c r="D34" s="768"/>
      <c r="E34" s="768"/>
    </row>
    <row r="35" spans="1:6" x14ac:dyDescent="0.2">
      <c r="C35" s="768"/>
      <c r="D35" s="768"/>
      <c r="E35" s="768"/>
    </row>
    <row r="36" spans="1:6" x14ac:dyDescent="0.2">
      <c r="C36" s="768"/>
      <c r="D36" s="768"/>
      <c r="E36" s="768"/>
    </row>
    <row r="37" spans="1:6" x14ac:dyDescent="0.2">
      <c r="C37" s="768"/>
      <c r="D37" s="768"/>
      <c r="E37" s="768"/>
    </row>
    <row r="38" spans="1:6" x14ac:dyDescent="0.2">
      <c r="C38" s="768"/>
      <c r="D38" s="768"/>
      <c r="E38" s="768"/>
    </row>
    <row r="39" spans="1:6" x14ac:dyDescent="0.2">
      <c r="C39" s="768"/>
      <c r="D39" s="768"/>
      <c r="E39" s="768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 2.2. melléklet a ../.....(.......)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Normal="120" zoomScaleSheetLayoutView="100" zoomScalePageLayoutView="70" workbookViewId="0">
      <selection activeCell="I18" sqref="I18"/>
    </sheetView>
  </sheetViews>
  <sheetFormatPr defaultRowHeight="15" x14ac:dyDescent="0.25"/>
  <cols>
    <col min="1" max="1" width="5.6640625" style="110" customWidth="1"/>
    <col min="2" max="2" width="41.1640625" style="110" customWidth="1"/>
    <col min="3" max="7" width="12.33203125" style="110" customWidth="1"/>
    <col min="8" max="8" width="15.1640625" style="110" customWidth="1"/>
    <col min="9" max="256" width="9.33203125" style="110"/>
    <col min="257" max="257" width="5.6640625" style="110" customWidth="1"/>
    <col min="258" max="258" width="41.1640625" style="110" customWidth="1"/>
    <col min="259" max="259" width="17.6640625" style="110" customWidth="1"/>
    <col min="260" max="263" width="14" style="110" customWidth="1"/>
    <col min="264" max="264" width="15.1640625" style="110" customWidth="1"/>
    <col min="265" max="512" width="9.33203125" style="110"/>
    <col min="513" max="513" width="5.6640625" style="110" customWidth="1"/>
    <col min="514" max="514" width="41.1640625" style="110" customWidth="1"/>
    <col min="515" max="515" width="17.6640625" style="110" customWidth="1"/>
    <col min="516" max="519" width="14" style="110" customWidth="1"/>
    <col min="520" max="520" width="15.1640625" style="110" customWidth="1"/>
    <col min="521" max="768" width="9.33203125" style="110"/>
    <col min="769" max="769" width="5.6640625" style="110" customWidth="1"/>
    <col min="770" max="770" width="41.1640625" style="110" customWidth="1"/>
    <col min="771" max="771" width="17.6640625" style="110" customWidth="1"/>
    <col min="772" max="775" width="14" style="110" customWidth="1"/>
    <col min="776" max="776" width="15.1640625" style="110" customWidth="1"/>
    <col min="777" max="1024" width="9.33203125" style="110"/>
    <col min="1025" max="1025" width="5.6640625" style="110" customWidth="1"/>
    <col min="1026" max="1026" width="41.1640625" style="110" customWidth="1"/>
    <col min="1027" max="1027" width="17.6640625" style="110" customWidth="1"/>
    <col min="1028" max="1031" width="14" style="110" customWidth="1"/>
    <col min="1032" max="1032" width="15.1640625" style="110" customWidth="1"/>
    <col min="1033" max="1280" width="9.33203125" style="110"/>
    <col min="1281" max="1281" width="5.6640625" style="110" customWidth="1"/>
    <col min="1282" max="1282" width="41.1640625" style="110" customWidth="1"/>
    <col min="1283" max="1283" width="17.6640625" style="110" customWidth="1"/>
    <col min="1284" max="1287" width="14" style="110" customWidth="1"/>
    <col min="1288" max="1288" width="15.1640625" style="110" customWidth="1"/>
    <col min="1289" max="1536" width="9.33203125" style="110"/>
    <col min="1537" max="1537" width="5.6640625" style="110" customWidth="1"/>
    <col min="1538" max="1538" width="41.1640625" style="110" customWidth="1"/>
    <col min="1539" max="1539" width="17.6640625" style="110" customWidth="1"/>
    <col min="1540" max="1543" width="14" style="110" customWidth="1"/>
    <col min="1544" max="1544" width="15.1640625" style="110" customWidth="1"/>
    <col min="1545" max="1792" width="9.33203125" style="110"/>
    <col min="1793" max="1793" width="5.6640625" style="110" customWidth="1"/>
    <col min="1794" max="1794" width="41.1640625" style="110" customWidth="1"/>
    <col min="1795" max="1795" width="17.6640625" style="110" customWidth="1"/>
    <col min="1796" max="1799" width="14" style="110" customWidth="1"/>
    <col min="1800" max="1800" width="15.1640625" style="110" customWidth="1"/>
    <col min="1801" max="2048" width="9.33203125" style="110"/>
    <col min="2049" max="2049" width="5.6640625" style="110" customWidth="1"/>
    <col min="2050" max="2050" width="41.1640625" style="110" customWidth="1"/>
    <col min="2051" max="2051" width="17.6640625" style="110" customWidth="1"/>
    <col min="2052" max="2055" width="14" style="110" customWidth="1"/>
    <col min="2056" max="2056" width="15.1640625" style="110" customWidth="1"/>
    <col min="2057" max="2304" width="9.33203125" style="110"/>
    <col min="2305" max="2305" width="5.6640625" style="110" customWidth="1"/>
    <col min="2306" max="2306" width="41.1640625" style="110" customWidth="1"/>
    <col min="2307" max="2307" width="17.6640625" style="110" customWidth="1"/>
    <col min="2308" max="2311" width="14" style="110" customWidth="1"/>
    <col min="2312" max="2312" width="15.1640625" style="110" customWidth="1"/>
    <col min="2313" max="2560" width="9.33203125" style="110"/>
    <col min="2561" max="2561" width="5.6640625" style="110" customWidth="1"/>
    <col min="2562" max="2562" width="41.1640625" style="110" customWidth="1"/>
    <col min="2563" max="2563" width="17.6640625" style="110" customWidth="1"/>
    <col min="2564" max="2567" width="14" style="110" customWidth="1"/>
    <col min="2568" max="2568" width="15.1640625" style="110" customWidth="1"/>
    <col min="2569" max="2816" width="9.33203125" style="110"/>
    <col min="2817" max="2817" width="5.6640625" style="110" customWidth="1"/>
    <col min="2818" max="2818" width="41.1640625" style="110" customWidth="1"/>
    <col min="2819" max="2819" width="17.6640625" style="110" customWidth="1"/>
    <col min="2820" max="2823" width="14" style="110" customWidth="1"/>
    <col min="2824" max="2824" width="15.1640625" style="110" customWidth="1"/>
    <col min="2825" max="3072" width="9.33203125" style="110"/>
    <col min="3073" max="3073" width="5.6640625" style="110" customWidth="1"/>
    <col min="3074" max="3074" width="41.1640625" style="110" customWidth="1"/>
    <col min="3075" max="3075" width="17.6640625" style="110" customWidth="1"/>
    <col min="3076" max="3079" width="14" style="110" customWidth="1"/>
    <col min="3080" max="3080" width="15.1640625" style="110" customWidth="1"/>
    <col min="3081" max="3328" width="9.33203125" style="110"/>
    <col min="3329" max="3329" width="5.6640625" style="110" customWidth="1"/>
    <col min="3330" max="3330" width="41.1640625" style="110" customWidth="1"/>
    <col min="3331" max="3331" width="17.6640625" style="110" customWidth="1"/>
    <col min="3332" max="3335" width="14" style="110" customWidth="1"/>
    <col min="3336" max="3336" width="15.1640625" style="110" customWidth="1"/>
    <col min="3337" max="3584" width="9.33203125" style="110"/>
    <col min="3585" max="3585" width="5.6640625" style="110" customWidth="1"/>
    <col min="3586" max="3586" width="41.1640625" style="110" customWidth="1"/>
    <col min="3587" max="3587" width="17.6640625" style="110" customWidth="1"/>
    <col min="3588" max="3591" width="14" style="110" customWidth="1"/>
    <col min="3592" max="3592" width="15.1640625" style="110" customWidth="1"/>
    <col min="3593" max="3840" width="9.33203125" style="110"/>
    <col min="3841" max="3841" width="5.6640625" style="110" customWidth="1"/>
    <col min="3842" max="3842" width="41.1640625" style="110" customWidth="1"/>
    <col min="3843" max="3843" width="17.6640625" style="110" customWidth="1"/>
    <col min="3844" max="3847" width="14" style="110" customWidth="1"/>
    <col min="3848" max="3848" width="15.1640625" style="110" customWidth="1"/>
    <col min="3849" max="4096" width="9.33203125" style="110"/>
    <col min="4097" max="4097" width="5.6640625" style="110" customWidth="1"/>
    <col min="4098" max="4098" width="41.1640625" style="110" customWidth="1"/>
    <col min="4099" max="4099" width="17.6640625" style="110" customWidth="1"/>
    <col min="4100" max="4103" width="14" style="110" customWidth="1"/>
    <col min="4104" max="4104" width="15.1640625" style="110" customWidth="1"/>
    <col min="4105" max="4352" width="9.33203125" style="110"/>
    <col min="4353" max="4353" width="5.6640625" style="110" customWidth="1"/>
    <col min="4354" max="4354" width="41.1640625" style="110" customWidth="1"/>
    <col min="4355" max="4355" width="17.6640625" style="110" customWidth="1"/>
    <col min="4356" max="4359" width="14" style="110" customWidth="1"/>
    <col min="4360" max="4360" width="15.1640625" style="110" customWidth="1"/>
    <col min="4361" max="4608" width="9.33203125" style="110"/>
    <col min="4609" max="4609" width="5.6640625" style="110" customWidth="1"/>
    <col min="4610" max="4610" width="41.1640625" style="110" customWidth="1"/>
    <col min="4611" max="4611" width="17.6640625" style="110" customWidth="1"/>
    <col min="4612" max="4615" width="14" style="110" customWidth="1"/>
    <col min="4616" max="4616" width="15.1640625" style="110" customWidth="1"/>
    <col min="4617" max="4864" width="9.33203125" style="110"/>
    <col min="4865" max="4865" width="5.6640625" style="110" customWidth="1"/>
    <col min="4866" max="4866" width="41.1640625" style="110" customWidth="1"/>
    <col min="4867" max="4867" width="17.6640625" style="110" customWidth="1"/>
    <col min="4868" max="4871" width="14" style="110" customWidth="1"/>
    <col min="4872" max="4872" width="15.1640625" style="110" customWidth="1"/>
    <col min="4873" max="5120" width="9.33203125" style="110"/>
    <col min="5121" max="5121" width="5.6640625" style="110" customWidth="1"/>
    <col min="5122" max="5122" width="41.1640625" style="110" customWidth="1"/>
    <col min="5123" max="5123" width="17.6640625" style="110" customWidth="1"/>
    <col min="5124" max="5127" width="14" style="110" customWidth="1"/>
    <col min="5128" max="5128" width="15.1640625" style="110" customWidth="1"/>
    <col min="5129" max="5376" width="9.33203125" style="110"/>
    <col min="5377" max="5377" width="5.6640625" style="110" customWidth="1"/>
    <col min="5378" max="5378" width="41.1640625" style="110" customWidth="1"/>
    <col min="5379" max="5379" width="17.6640625" style="110" customWidth="1"/>
    <col min="5380" max="5383" width="14" style="110" customWidth="1"/>
    <col min="5384" max="5384" width="15.1640625" style="110" customWidth="1"/>
    <col min="5385" max="5632" width="9.33203125" style="110"/>
    <col min="5633" max="5633" width="5.6640625" style="110" customWidth="1"/>
    <col min="5634" max="5634" width="41.1640625" style="110" customWidth="1"/>
    <col min="5635" max="5635" width="17.6640625" style="110" customWidth="1"/>
    <col min="5636" max="5639" width="14" style="110" customWidth="1"/>
    <col min="5640" max="5640" width="15.1640625" style="110" customWidth="1"/>
    <col min="5641" max="5888" width="9.33203125" style="110"/>
    <col min="5889" max="5889" width="5.6640625" style="110" customWidth="1"/>
    <col min="5890" max="5890" width="41.1640625" style="110" customWidth="1"/>
    <col min="5891" max="5891" width="17.6640625" style="110" customWidth="1"/>
    <col min="5892" max="5895" width="14" style="110" customWidth="1"/>
    <col min="5896" max="5896" width="15.1640625" style="110" customWidth="1"/>
    <col min="5897" max="6144" width="9.33203125" style="110"/>
    <col min="6145" max="6145" width="5.6640625" style="110" customWidth="1"/>
    <col min="6146" max="6146" width="41.1640625" style="110" customWidth="1"/>
    <col min="6147" max="6147" width="17.6640625" style="110" customWidth="1"/>
    <col min="6148" max="6151" width="14" style="110" customWidth="1"/>
    <col min="6152" max="6152" width="15.1640625" style="110" customWidth="1"/>
    <col min="6153" max="6400" width="9.33203125" style="110"/>
    <col min="6401" max="6401" width="5.6640625" style="110" customWidth="1"/>
    <col min="6402" max="6402" width="41.1640625" style="110" customWidth="1"/>
    <col min="6403" max="6403" width="17.6640625" style="110" customWidth="1"/>
    <col min="6404" max="6407" width="14" style="110" customWidth="1"/>
    <col min="6408" max="6408" width="15.1640625" style="110" customWidth="1"/>
    <col min="6409" max="6656" width="9.33203125" style="110"/>
    <col min="6657" max="6657" width="5.6640625" style="110" customWidth="1"/>
    <col min="6658" max="6658" width="41.1640625" style="110" customWidth="1"/>
    <col min="6659" max="6659" width="17.6640625" style="110" customWidth="1"/>
    <col min="6660" max="6663" width="14" style="110" customWidth="1"/>
    <col min="6664" max="6664" width="15.1640625" style="110" customWidth="1"/>
    <col min="6665" max="6912" width="9.33203125" style="110"/>
    <col min="6913" max="6913" width="5.6640625" style="110" customWidth="1"/>
    <col min="6914" max="6914" width="41.1640625" style="110" customWidth="1"/>
    <col min="6915" max="6915" width="17.6640625" style="110" customWidth="1"/>
    <col min="6916" max="6919" width="14" style="110" customWidth="1"/>
    <col min="6920" max="6920" width="15.1640625" style="110" customWidth="1"/>
    <col min="6921" max="7168" width="9.33203125" style="110"/>
    <col min="7169" max="7169" width="5.6640625" style="110" customWidth="1"/>
    <col min="7170" max="7170" width="41.1640625" style="110" customWidth="1"/>
    <col min="7171" max="7171" width="17.6640625" style="110" customWidth="1"/>
    <col min="7172" max="7175" width="14" style="110" customWidth="1"/>
    <col min="7176" max="7176" width="15.1640625" style="110" customWidth="1"/>
    <col min="7177" max="7424" width="9.33203125" style="110"/>
    <col min="7425" max="7425" width="5.6640625" style="110" customWidth="1"/>
    <col min="7426" max="7426" width="41.1640625" style="110" customWidth="1"/>
    <col min="7427" max="7427" width="17.6640625" style="110" customWidth="1"/>
    <col min="7428" max="7431" width="14" style="110" customWidth="1"/>
    <col min="7432" max="7432" width="15.1640625" style="110" customWidth="1"/>
    <col min="7433" max="7680" width="9.33203125" style="110"/>
    <col min="7681" max="7681" width="5.6640625" style="110" customWidth="1"/>
    <col min="7682" max="7682" width="41.1640625" style="110" customWidth="1"/>
    <col min="7683" max="7683" width="17.6640625" style="110" customWidth="1"/>
    <col min="7684" max="7687" width="14" style="110" customWidth="1"/>
    <col min="7688" max="7688" width="15.1640625" style="110" customWidth="1"/>
    <col min="7689" max="7936" width="9.33203125" style="110"/>
    <col min="7937" max="7937" width="5.6640625" style="110" customWidth="1"/>
    <col min="7938" max="7938" width="41.1640625" style="110" customWidth="1"/>
    <col min="7939" max="7939" width="17.6640625" style="110" customWidth="1"/>
    <col min="7940" max="7943" width="14" style="110" customWidth="1"/>
    <col min="7944" max="7944" width="15.1640625" style="110" customWidth="1"/>
    <col min="7945" max="8192" width="9.33203125" style="110"/>
    <col min="8193" max="8193" width="5.6640625" style="110" customWidth="1"/>
    <col min="8194" max="8194" width="41.1640625" style="110" customWidth="1"/>
    <col min="8195" max="8195" width="17.6640625" style="110" customWidth="1"/>
    <col min="8196" max="8199" width="14" style="110" customWidth="1"/>
    <col min="8200" max="8200" width="15.1640625" style="110" customWidth="1"/>
    <col min="8201" max="8448" width="9.33203125" style="110"/>
    <col min="8449" max="8449" width="5.6640625" style="110" customWidth="1"/>
    <col min="8450" max="8450" width="41.1640625" style="110" customWidth="1"/>
    <col min="8451" max="8451" width="17.6640625" style="110" customWidth="1"/>
    <col min="8452" max="8455" width="14" style="110" customWidth="1"/>
    <col min="8456" max="8456" width="15.1640625" style="110" customWidth="1"/>
    <col min="8457" max="8704" width="9.33203125" style="110"/>
    <col min="8705" max="8705" width="5.6640625" style="110" customWidth="1"/>
    <col min="8706" max="8706" width="41.1640625" style="110" customWidth="1"/>
    <col min="8707" max="8707" width="17.6640625" style="110" customWidth="1"/>
    <col min="8708" max="8711" width="14" style="110" customWidth="1"/>
    <col min="8712" max="8712" width="15.1640625" style="110" customWidth="1"/>
    <col min="8713" max="8960" width="9.33203125" style="110"/>
    <col min="8961" max="8961" width="5.6640625" style="110" customWidth="1"/>
    <col min="8962" max="8962" width="41.1640625" style="110" customWidth="1"/>
    <col min="8963" max="8963" width="17.6640625" style="110" customWidth="1"/>
    <col min="8964" max="8967" width="14" style="110" customWidth="1"/>
    <col min="8968" max="8968" width="15.1640625" style="110" customWidth="1"/>
    <col min="8969" max="9216" width="9.33203125" style="110"/>
    <col min="9217" max="9217" width="5.6640625" style="110" customWidth="1"/>
    <col min="9218" max="9218" width="41.1640625" style="110" customWidth="1"/>
    <col min="9219" max="9219" width="17.6640625" style="110" customWidth="1"/>
    <col min="9220" max="9223" width="14" style="110" customWidth="1"/>
    <col min="9224" max="9224" width="15.1640625" style="110" customWidth="1"/>
    <col min="9225" max="9472" width="9.33203125" style="110"/>
    <col min="9473" max="9473" width="5.6640625" style="110" customWidth="1"/>
    <col min="9474" max="9474" width="41.1640625" style="110" customWidth="1"/>
    <col min="9475" max="9475" width="17.6640625" style="110" customWidth="1"/>
    <col min="9476" max="9479" width="14" style="110" customWidth="1"/>
    <col min="9480" max="9480" width="15.1640625" style="110" customWidth="1"/>
    <col min="9481" max="9728" width="9.33203125" style="110"/>
    <col min="9729" max="9729" width="5.6640625" style="110" customWidth="1"/>
    <col min="9730" max="9730" width="41.1640625" style="110" customWidth="1"/>
    <col min="9731" max="9731" width="17.6640625" style="110" customWidth="1"/>
    <col min="9732" max="9735" width="14" style="110" customWidth="1"/>
    <col min="9736" max="9736" width="15.1640625" style="110" customWidth="1"/>
    <col min="9737" max="9984" width="9.33203125" style="110"/>
    <col min="9985" max="9985" width="5.6640625" style="110" customWidth="1"/>
    <col min="9986" max="9986" width="41.1640625" style="110" customWidth="1"/>
    <col min="9987" max="9987" width="17.6640625" style="110" customWidth="1"/>
    <col min="9988" max="9991" width="14" style="110" customWidth="1"/>
    <col min="9992" max="9992" width="15.1640625" style="110" customWidth="1"/>
    <col min="9993" max="10240" width="9.33203125" style="110"/>
    <col min="10241" max="10241" width="5.6640625" style="110" customWidth="1"/>
    <col min="10242" max="10242" width="41.1640625" style="110" customWidth="1"/>
    <col min="10243" max="10243" width="17.6640625" style="110" customWidth="1"/>
    <col min="10244" max="10247" width="14" style="110" customWidth="1"/>
    <col min="10248" max="10248" width="15.1640625" style="110" customWidth="1"/>
    <col min="10249" max="10496" width="9.33203125" style="110"/>
    <col min="10497" max="10497" width="5.6640625" style="110" customWidth="1"/>
    <col min="10498" max="10498" width="41.1640625" style="110" customWidth="1"/>
    <col min="10499" max="10499" width="17.6640625" style="110" customWidth="1"/>
    <col min="10500" max="10503" width="14" style="110" customWidth="1"/>
    <col min="10504" max="10504" width="15.1640625" style="110" customWidth="1"/>
    <col min="10505" max="10752" width="9.33203125" style="110"/>
    <col min="10753" max="10753" width="5.6640625" style="110" customWidth="1"/>
    <col min="10754" max="10754" width="41.1640625" style="110" customWidth="1"/>
    <col min="10755" max="10755" width="17.6640625" style="110" customWidth="1"/>
    <col min="10756" max="10759" width="14" style="110" customWidth="1"/>
    <col min="10760" max="10760" width="15.1640625" style="110" customWidth="1"/>
    <col min="10761" max="11008" width="9.33203125" style="110"/>
    <col min="11009" max="11009" width="5.6640625" style="110" customWidth="1"/>
    <col min="11010" max="11010" width="41.1640625" style="110" customWidth="1"/>
    <col min="11011" max="11011" width="17.6640625" style="110" customWidth="1"/>
    <col min="11012" max="11015" width="14" style="110" customWidth="1"/>
    <col min="11016" max="11016" width="15.1640625" style="110" customWidth="1"/>
    <col min="11017" max="11264" width="9.33203125" style="110"/>
    <col min="11265" max="11265" width="5.6640625" style="110" customWidth="1"/>
    <col min="11266" max="11266" width="41.1640625" style="110" customWidth="1"/>
    <col min="11267" max="11267" width="17.6640625" style="110" customWidth="1"/>
    <col min="11268" max="11271" width="14" style="110" customWidth="1"/>
    <col min="11272" max="11272" width="15.1640625" style="110" customWidth="1"/>
    <col min="11273" max="11520" width="9.33203125" style="110"/>
    <col min="11521" max="11521" width="5.6640625" style="110" customWidth="1"/>
    <col min="11522" max="11522" width="41.1640625" style="110" customWidth="1"/>
    <col min="11523" max="11523" width="17.6640625" style="110" customWidth="1"/>
    <col min="11524" max="11527" width="14" style="110" customWidth="1"/>
    <col min="11528" max="11528" width="15.1640625" style="110" customWidth="1"/>
    <col min="11529" max="11776" width="9.33203125" style="110"/>
    <col min="11777" max="11777" width="5.6640625" style="110" customWidth="1"/>
    <col min="11778" max="11778" width="41.1640625" style="110" customWidth="1"/>
    <col min="11779" max="11779" width="17.6640625" style="110" customWidth="1"/>
    <col min="11780" max="11783" width="14" style="110" customWidth="1"/>
    <col min="11784" max="11784" width="15.1640625" style="110" customWidth="1"/>
    <col min="11785" max="12032" width="9.33203125" style="110"/>
    <col min="12033" max="12033" width="5.6640625" style="110" customWidth="1"/>
    <col min="12034" max="12034" width="41.1640625" style="110" customWidth="1"/>
    <col min="12035" max="12035" width="17.6640625" style="110" customWidth="1"/>
    <col min="12036" max="12039" width="14" style="110" customWidth="1"/>
    <col min="12040" max="12040" width="15.1640625" style="110" customWidth="1"/>
    <col min="12041" max="12288" width="9.33203125" style="110"/>
    <col min="12289" max="12289" width="5.6640625" style="110" customWidth="1"/>
    <col min="12290" max="12290" width="41.1640625" style="110" customWidth="1"/>
    <col min="12291" max="12291" width="17.6640625" style="110" customWidth="1"/>
    <col min="12292" max="12295" width="14" style="110" customWidth="1"/>
    <col min="12296" max="12296" width="15.1640625" style="110" customWidth="1"/>
    <col min="12297" max="12544" width="9.33203125" style="110"/>
    <col min="12545" max="12545" width="5.6640625" style="110" customWidth="1"/>
    <col min="12546" max="12546" width="41.1640625" style="110" customWidth="1"/>
    <col min="12547" max="12547" width="17.6640625" style="110" customWidth="1"/>
    <col min="12548" max="12551" width="14" style="110" customWidth="1"/>
    <col min="12552" max="12552" width="15.1640625" style="110" customWidth="1"/>
    <col min="12553" max="12800" width="9.33203125" style="110"/>
    <col min="12801" max="12801" width="5.6640625" style="110" customWidth="1"/>
    <col min="12802" max="12802" width="41.1640625" style="110" customWidth="1"/>
    <col min="12803" max="12803" width="17.6640625" style="110" customWidth="1"/>
    <col min="12804" max="12807" width="14" style="110" customWidth="1"/>
    <col min="12808" max="12808" width="15.1640625" style="110" customWidth="1"/>
    <col min="12809" max="13056" width="9.33203125" style="110"/>
    <col min="13057" max="13057" width="5.6640625" style="110" customWidth="1"/>
    <col min="13058" max="13058" width="41.1640625" style="110" customWidth="1"/>
    <col min="13059" max="13059" width="17.6640625" style="110" customWidth="1"/>
    <col min="13060" max="13063" width="14" style="110" customWidth="1"/>
    <col min="13064" max="13064" width="15.1640625" style="110" customWidth="1"/>
    <col min="13065" max="13312" width="9.33203125" style="110"/>
    <col min="13313" max="13313" width="5.6640625" style="110" customWidth="1"/>
    <col min="13314" max="13314" width="41.1640625" style="110" customWidth="1"/>
    <col min="13315" max="13315" width="17.6640625" style="110" customWidth="1"/>
    <col min="13316" max="13319" width="14" style="110" customWidth="1"/>
    <col min="13320" max="13320" width="15.1640625" style="110" customWidth="1"/>
    <col min="13321" max="13568" width="9.33203125" style="110"/>
    <col min="13569" max="13569" width="5.6640625" style="110" customWidth="1"/>
    <col min="13570" max="13570" width="41.1640625" style="110" customWidth="1"/>
    <col min="13571" max="13571" width="17.6640625" style="110" customWidth="1"/>
    <col min="13572" max="13575" width="14" style="110" customWidth="1"/>
    <col min="13576" max="13576" width="15.1640625" style="110" customWidth="1"/>
    <col min="13577" max="13824" width="9.33203125" style="110"/>
    <col min="13825" max="13825" width="5.6640625" style="110" customWidth="1"/>
    <col min="13826" max="13826" width="41.1640625" style="110" customWidth="1"/>
    <col min="13827" max="13827" width="17.6640625" style="110" customWidth="1"/>
    <col min="13828" max="13831" width="14" style="110" customWidth="1"/>
    <col min="13832" max="13832" width="15.1640625" style="110" customWidth="1"/>
    <col min="13833" max="14080" width="9.33203125" style="110"/>
    <col min="14081" max="14081" width="5.6640625" style="110" customWidth="1"/>
    <col min="14082" max="14082" width="41.1640625" style="110" customWidth="1"/>
    <col min="14083" max="14083" width="17.6640625" style="110" customWidth="1"/>
    <col min="14084" max="14087" width="14" style="110" customWidth="1"/>
    <col min="14088" max="14088" width="15.1640625" style="110" customWidth="1"/>
    <col min="14089" max="14336" width="9.33203125" style="110"/>
    <col min="14337" max="14337" width="5.6640625" style="110" customWidth="1"/>
    <col min="14338" max="14338" width="41.1640625" style="110" customWidth="1"/>
    <col min="14339" max="14339" width="17.6640625" style="110" customWidth="1"/>
    <col min="14340" max="14343" width="14" style="110" customWidth="1"/>
    <col min="14344" max="14344" width="15.1640625" style="110" customWidth="1"/>
    <col min="14345" max="14592" width="9.33203125" style="110"/>
    <col min="14593" max="14593" width="5.6640625" style="110" customWidth="1"/>
    <col min="14594" max="14594" width="41.1640625" style="110" customWidth="1"/>
    <col min="14595" max="14595" width="17.6640625" style="110" customWidth="1"/>
    <col min="14596" max="14599" width="14" style="110" customWidth="1"/>
    <col min="14600" max="14600" width="15.1640625" style="110" customWidth="1"/>
    <col min="14601" max="14848" width="9.33203125" style="110"/>
    <col min="14849" max="14849" width="5.6640625" style="110" customWidth="1"/>
    <col min="14850" max="14850" width="41.1640625" style="110" customWidth="1"/>
    <col min="14851" max="14851" width="17.6640625" style="110" customWidth="1"/>
    <col min="14852" max="14855" width="14" style="110" customWidth="1"/>
    <col min="14856" max="14856" width="15.1640625" style="110" customWidth="1"/>
    <col min="14857" max="15104" width="9.33203125" style="110"/>
    <col min="15105" max="15105" width="5.6640625" style="110" customWidth="1"/>
    <col min="15106" max="15106" width="41.1640625" style="110" customWidth="1"/>
    <col min="15107" max="15107" width="17.6640625" style="110" customWidth="1"/>
    <col min="15108" max="15111" width="14" style="110" customWidth="1"/>
    <col min="15112" max="15112" width="15.1640625" style="110" customWidth="1"/>
    <col min="15113" max="15360" width="9.33203125" style="110"/>
    <col min="15361" max="15361" width="5.6640625" style="110" customWidth="1"/>
    <col min="15362" max="15362" width="41.1640625" style="110" customWidth="1"/>
    <col min="15363" max="15363" width="17.6640625" style="110" customWidth="1"/>
    <col min="15364" max="15367" width="14" style="110" customWidth="1"/>
    <col min="15368" max="15368" width="15.1640625" style="110" customWidth="1"/>
    <col min="15369" max="15616" width="9.33203125" style="110"/>
    <col min="15617" max="15617" width="5.6640625" style="110" customWidth="1"/>
    <col min="15618" max="15618" width="41.1640625" style="110" customWidth="1"/>
    <col min="15619" max="15619" width="17.6640625" style="110" customWidth="1"/>
    <col min="15620" max="15623" width="14" style="110" customWidth="1"/>
    <col min="15624" max="15624" width="15.1640625" style="110" customWidth="1"/>
    <col min="15625" max="15872" width="9.33203125" style="110"/>
    <col min="15873" max="15873" width="5.6640625" style="110" customWidth="1"/>
    <col min="15874" max="15874" width="41.1640625" style="110" customWidth="1"/>
    <col min="15875" max="15875" width="17.6640625" style="110" customWidth="1"/>
    <col min="15876" max="15879" width="14" style="110" customWidth="1"/>
    <col min="15880" max="15880" width="15.1640625" style="110" customWidth="1"/>
    <col min="15881" max="16128" width="9.33203125" style="110"/>
    <col min="16129" max="16129" width="5.6640625" style="110" customWidth="1"/>
    <col min="16130" max="16130" width="41.1640625" style="110" customWidth="1"/>
    <col min="16131" max="16131" width="17.6640625" style="110" customWidth="1"/>
    <col min="16132" max="16135" width="14" style="110" customWidth="1"/>
    <col min="16136" max="16136" width="15.1640625" style="110" customWidth="1"/>
    <col min="16137" max="16384" width="9.33203125" style="110"/>
  </cols>
  <sheetData>
    <row r="1" spans="1:9" ht="33" customHeight="1" x14ac:dyDescent="0.25">
      <c r="A1" s="1181" t="s">
        <v>540</v>
      </c>
      <c r="B1" s="1181"/>
      <c r="C1" s="1181"/>
      <c r="D1" s="1181"/>
      <c r="E1" s="1181"/>
      <c r="F1" s="1181"/>
      <c r="G1" s="1181"/>
      <c r="H1" s="1181"/>
    </row>
    <row r="2" spans="1:9" ht="15.95" customHeight="1" thickBot="1" x14ac:dyDescent="0.3">
      <c r="A2" s="111"/>
      <c r="B2" s="363"/>
      <c r="C2" s="363"/>
      <c r="D2" s="1182"/>
      <c r="E2" s="1182"/>
      <c r="F2" s="1182"/>
      <c r="G2" s="1183" t="s">
        <v>706</v>
      </c>
      <c r="H2" s="1183"/>
      <c r="I2" s="114"/>
    </row>
    <row r="3" spans="1:9" ht="63" customHeight="1" x14ac:dyDescent="0.25">
      <c r="A3" s="1184" t="s">
        <v>29</v>
      </c>
      <c r="B3" s="1186" t="s">
        <v>204</v>
      </c>
      <c r="C3" s="438">
        <v>43100</v>
      </c>
      <c r="D3" s="1186" t="s">
        <v>259</v>
      </c>
      <c r="E3" s="1186"/>
      <c r="F3" s="1186"/>
      <c r="G3" s="1186"/>
      <c r="H3" s="1188" t="s">
        <v>711</v>
      </c>
    </row>
    <row r="4" spans="1:9" ht="15.75" thickBot="1" x14ac:dyDescent="0.3">
      <c r="A4" s="1185"/>
      <c r="B4" s="1187"/>
      <c r="C4" s="938"/>
      <c r="D4" s="938">
        <v>2018</v>
      </c>
      <c r="E4" s="938">
        <v>2019</v>
      </c>
      <c r="F4" s="938">
        <v>2020</v>
      </c>
      <c r="G4" s="879">
        <v>2021</v>
      </c>
      <c r="H4" s="1189"/>
    </row>
    <row r="5" spans="1:9" ht="21" customHeight="1" thickBot="1" x14ac:dyDescent="0.3">
      <c r="A5" s="435" t="s">
        <v>31</v>
      </c>
      <c r="B5" s="432">
        <v>2</v>
      </c>
      <c r="C5" s="112">
        <v>3</v>
      </c>
      <c r="D5" s="112">
        <v>4</v>
      </c>
      <c r="E5" s="112">
        <v>5</v>
      </c>
      <c r="F5" s="112">
        <v>6</v>
      </c>
      <c r="G5" s="113">
        <v>7</v>
      </c>
      <c r="H5" s="113">
        <v>8</v>
      </c>
    </row>
    <row r="6" spans="1:9" ht="33.75" customHeight="1" x14ac:dyDescent="0.25">
      <c r="A6" s="434" t="s">
        <v>32</v>
      </c>
      <c r="B6" s="499" t="s">
        <v>863</v>
      </c>
      <c r="C6" s="533">
        <v>0</v>
      </c>
      <c r="D6" s="880">
        <v>0</v>
      </c>
      <c r="E6" s="880">
        <v>0</v>
      </c>
      <c r="F6" s="880">
        <v>0</v>
      </c>
      <c r="G6" s="880">
        <v>0</v>
      </c>
      <c r="H6" s="881">
        <f t="shared" ref="H6:H20" si="0">SUM(D6:G6)</f>
        <v>0</v>
      </c>
    </row>
    <row r="7" spans="1:9" ht="28.5" customHeight="1" x14ac:dyDescent="0.25">
      <c r="A7" s="434" t="s">
        <v>33</v>
      </c>
      <c r="B7" s="433" t="s">
        <v>864</v>
      </c>
      <c r="C7" s="533">
        <v>570704</v>
      </c>
      <c r="D7" s="880">
        <v>570704</v>
      </c>
      <c r="E7" s="880">
        <v>0</v>
      </c>
      <c r="F7" s="880">
        <v>0</v>
      </c>
      <c r="G7" s="880">
        <v>0</v>
      </c>
      <c r="H7" s="881">
        <f t="shared" si="0"/>
        <v>570704</v>
      </c>
    </row>
    <row r="8" spans="1:9" ht="39" x14ac:dyDescent="0.25">
      <c r="A8" s="434" t="s">
        <v>34</v>
      </c>
      <c r="B8" s="499" t="s">
        <v>865</v>
      </c>
      <c r="C8" s="533">
        <v>10694590</v>
      </c>
      <c r="D8" s="880">
        <v>4444000</v>
      </c>
      <c r="E8" s="880">
        <v>4444000</v>
      </c>
      <c r="F8" s="880">
        <v>1806590</v>
      </c>
      <c r="G8" s="880">
        <v>0</v>
      </c>
      <c r="H8" s="881">
        <f t="shared" si="0"/>
        <v>10694590</v>
      </c>
    </row>
    <row r="9" spans="1:9" ht="39" x14ac:dyDescent="0.25">
      <c r="A9" s="434" t="s">
        <v>35</v>
      </c>
      <c r="B9" s="499" t="s">
        <v>866</v>
      </c>
      <c r="C9" s="533">
        <v>10303000</v>
      </c>
      <c r="D9" s="882">
        <v>1472000</v>
      </c>
      <c r="E9" s="882">
        <v>1472000</v>
      </c>
      <c r="F9" s="880">
        <v>1472000</v>
      </c>
      <c r="G9" s="880">
        <v>1472000</v>
      </c>
      <c r="H9" s="881">
        <f t="shared" si="0"/>
        <v>5888000</v>
      </c>
    </row>
    <row r="10" spans="1:9" ht="30.75" customHeight="1" x14ac:dyDescent="0.25">
      <c r="A10" s="434" t="s">
        <v>36</v>
      </c>
      <c r="B10" s="499" t="s">
        <v>709</v>
      </c>
      <c r="C10" s="533">
        <v>3104461</v>
      </c>
      <c r="D10" s="882">
        <v>887000</v>
      </c>
      <c r="E10" s="882">
        <v>887000</v>
      </c>
      <c r="F10" s="880">
        <v>887000</v>
      </c>
      <c r="G10" s="880">
        <v>443461</v>
      </c>
      <c r="H10" s="881">
        <f t="shared" si="0"/>
        <v>3104461</v>
      </c>
    </row>
    <row r="11" spans="1:9" ht="34.5" customHeight="1" x14ac:dyDescent="0.25">
      <c r="A11" s="434" t="s">
        <v>37</v>
      </c>
      <c r="B11" s="499" t="s">
        <v>710</v>
      </c>
      <c r="C11" s="533">
        <v>3895539</v>
      </c>
      <c r="D11" s="882">
        <v>1113000</v>
      </c>
      <c r="E11" s="882">
        <v>1113000</v>
      </c>
      <c r="F11" s="880">
        <v>1113000</v>
      </c>
      <c r="G11" s="880">
        <v>556539</v>
      </c>
      <c r="H11" s="881">
        <f t="shared" si="0"/>
        <v>3895539</v>
      </c>
    </row>
    <row r="12" spans="1:9" ht="26.25" customHeight="1" x14ac:dyDescent="0.25">
      <c r="A12" s="558" t="s">
        <v>38</v>
      </c>
      <c r="B12" s="883" t="s">
        <v>714</v>
      </c>
      <c r="C12" s="533">
        <v>7772026</v>
      </c>
      <c r="D12" s="880">
        <v>0</v>
      </c>
      <c r="E12" s="880">
        <v>4940000</v>
      </c>
      <c r="F12" s="880">
        <v>4940000</v>
      </c>
      <c r="G12" s="880">
        <v>4940000</v>
      </c>
      <c r="H12" s="881">
        <f t="shared" si="0"/>
        <v>14820000</v>
      </c>
    </row>
    <row r="13" spans="1:9" ht="26.25" customHeight="1" x14ac:dyDescent="0.25">
      <c r="A13" s="558" t="s">
        <v>39</v>
      </c>
      <c r="B13" s="532" t="s">
        <v>867</v>
      </c>
      <c r="C13" s="534">
        <v>5500000</v>
      </c>
      <c r="D13" s="884">
        <v>0</v>
      </c>
      <c r="E13" s="884">
        <v>1464000</v>
      </c>
      <c r="F13" s="885">
        <v>1464000</v>
      </c>
      <c r="G13" s="885">
        <v>1464000</v>
      </c>
      <c r="H13" s="881">
        <f t="shared" si="0"/>
        <v>4392000</v>
      </c>
    </row>
    <row r="14" spans="1:9" ht="26.25" customHeight="1" x14ac:dyDescent="0.25">
      <c r="A14" s="1055" t="s">
        <v>40</v>
      </c>
      <c r="B14" s="507" t="s">
        <v>868</v>
      </c>
      <c r="C14" s="533">
        <v>0</v>
      </c>
      <c r="D14" s="880">
        <v>0</v>
      </c>
      <c r="E14" s="880">
        <v>533576</v>
      </c>
      <c r="F14" s="880">
        <v>1067152</v>
      </c>
      <c r="G14" s="880">
        <v>1067152</v>
      </c>
      <c r="H14" s="881">
        <f t="shared" si="0"/>
        <v>2667880</v>
      </c>
    </row>
    <row r="15" spans="1:9" ht="26.25" customHeight="1" x14ac:dyDescent="0.25">
      <c r="A15" s="1055" t="s">
        <v>41</v>
      </c>
      <c r="B15" s="507" t="s">
        <v>869</v>
      </c>
      <c r="C15" s="533">
        <v>0</v>
      </c>
      <c r="D15" s="880">
        <v>0</v>
      </c>
      <c r="E15" s="880">
        <v>363696</v>
      </c>
      <c r="F15" s="880">
        <v>1454784</v>
      </c>
      <c r="G15" s="880">
        <v>1454784</v>
      </c>
      <c r="H15" s="881">
        <f t="shared" si="0"/>
        <v>3273264</v>
      </c>
    </row>
    <row r="16" spans="1:9" ht="26.25" customHeight="1" x14ac:dyDescent="0.25">
      <c r="A16" s="1055" t="s">
        <v>42</v>
      </c>
      <c r="B16" s="507" t="s">
        <v>870</v>
      </c>
      <c r="C16" s="533">
        <v>0</v>
      </c>
      <c r="D16" s="880">
        <v>0</v>
      </c>
      <c r="E16" s="880">
        <v>620958</v>
      </c>
      <c r="F16" s="880">
        <v>1241916</v>
      </c>
      <c r="G16" s="880">
        <v>1241916</v>
      </c>
      <c r="H16" s="881">
        <f t="shared" si="0"/>
        <v>3104790</v>
      </c>
    </row>
    <row r="17" spans="1:8" ht="26.25" customHeight="1" x14ac:dyDescent="0.25">
      <c r="A17" s="1055" t="s">
        <v>43</v>
      </c>
      <c r="B17" s="507" t="s">
        <v>871</v>
      </c>
      <c r="C17" s="533">
        <v>0</v>
      </c>
      <c r="D17" s="880">
        <v>0</v>
      </c>
      <c r="E17" s="880">
        <v>317500</v>
      </c>
      <c r="F17" s="880">
        <v>1270000</v>
      </c>
      <c r="G17" s="880">
        <v>1270000</v>
      </c>
      <c r="H17" s="881">
        <f t="shared" si="0"/>
        <v>2857500</v>
      </c>
    </row>
    <row r="18" spans="1:8" ht="26.25" customHeight="1" x14ac:dyDescent="0.25">
      <c r="A18" s="558" t="s">
        <v>44</v>
      </c>
      <c r="B18" s="883" t="s">
        <v>872</v>
      </c>
      <c r="C18" s="533">
        <v>0</v>
      </c>
      <c r="D18" s="880">
        <v>0</v>
      </c>
      <c r="E18" s="880">
        <v>833334</v>
      </c>
      <c r="F18" s="880">
        <v>1666667</v>
      </c>
      <c r="G18" s="880">
        <v>1666667</v>
      </c>
      <c r="H18" s="881">
        <f t="shared" si="0"/>
        <v>4166668</v>
      </c>
    </row>
    <row r="19" spans="1:8" ht="26.25" customHeight="1" x14ac:dyDescent="0.25">
      <c r="A19" s="558" t="s">
        <v>45</v>
      </c>
      <c r="B19" s="883" t="s">
        <v>873</v>
      </c>
      <c r="C19" s="533">
        <v>0</v>
      </c>
      <c r="D19" s="880">
        <v>0</v>
      </c>
      <c r="E19" s="880">
        <v>0</v>
      </c>
      <c r="F19" s="880">
        <v>1844390</v>
      </c>
      <c r="G19" s="880">
        <v>1844390</v>
      </c>
      <c r="H19" s="881">
        <f t="shared" si="0"/>
        <v>3688780</v>
      </c>
    </row>
    <row r="20" spans="1:8" ht="26.25" customHeight="1" thickBot="1" x14ac:dyDescent="0.3">
      <c r="A20" s="558" t="s">
        <v>46</v>
      </c>
      <c r="B20" s="883" t="s">
        <v>874</v>
      </c>
      <c r="C20" s="533">
        <v>0</v>
      </c>
      <c r="D20" s="880">
        <v>0</v>
      </c>
      <c r="E20" s="880">
        <v>0</v>
      </c>
      <c r="F20" s="880">
        <v>3171742</v>
      </c>
      <c r="G20" s="880">
        <v>3171742</v>
      </c>
      <c r="H20" s="881">
        <f t="shared" si="0"/>
        <v>6343484</v>
      </c>
    </row>
    <row r="21" spans="1:8" ht="24.75" customHeight="1" thickBot="1" x14ac:dyDescent="0.3">
      <c r="A21" s="886"/>
      <c r="B21" s="887" t="s">
        <v>205</v>
      </c>
      <c r="C21" s="888">
        <f t="shared" ref="C21:H21" si="1">SUM(C6:C20)</f>
        <v>41840320</v>
      </c>
      <c r="D21" s="888">
        <f t="shared" si="1"/>
        <v>8486704</v>
      </c>
      <c r="E21" s="888">
        <f t="shared" si="1"/>
        <v>16989064</v>
      </c>
      <c r="F21" s="888">
        <f t="shared" si="1"/>
        <v>23399241</v>
      </c>
      <c r="G21" s="888">
        <f t="shared" si="1"/>
        <v>20592651</v>
      </c>
      <c r="H21" s="888">
        <f t="shared" si="1"/>
        <v>69467660</v>
      </c>
    </row>
    <row r="23" spans="1:8" x14ac:dyDescent="0.25">
      <c r="B23" s="441" t="s">
        <v>712</v>
      </c>
    </row>
    <row r="25" spans="1:8" x14ac:dyDescent="0.25">
      <c r="B25" s="1056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3779527559055118" bottom="0.98425196850393704" header="0.78740157480314965" footer="0.78740157480314965"/>
  <pageSetup paperSize="9" scale="70" orientation="portrait" r:id="rId1"/>
  <headerFooter alignWithMargins="0">
    <oddHeader xml:space="preserve">&amp;R3. melléklet a ../...(.......) önkormányzati rendelethez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zoomScale="120" zoomScaleNormal="120" workbookViewId="0">
      <selection activeCell="D4" sqref="D4"/>
    </sheetView>
  </sheetViews>
  <sheetFormatPr defaultRowHeight="15" x14ac:dyDescent="0.25"/>
  <cols>
    <col min="1" max="1" width="5.6640625" style="110" customWidth="1"/>
    <col min="2" max="2" width="68.6640625" style="110" customWidth="1"/>
    <col min="3" max="3" width="19.5" style="110" customWidth="1"/>
    <col min="4" max="4" width="11.33203125" style="110" customWidth="1"/>
    <col min="5" max="16384" width="9.33203125" style="110"/>
  </cols>
  <sheetData>
    <row r="1" spans="1:4" ht="33" customHeight="1" x14ac:dyDescent="0.25">
      <c r="A1" s="1181" t="s">
        <v>542</v>
      </c>
      <c r="B1" s="1181"/>
      <c r="C1" s="1181"/>
    </row>
    <row r="2" spans="1:4" ht="15.95" customHeight="1" thickBot="1" x14ac:dyDescent="0.3">
      <c r="A2" s="111"/>
      <c r="B2" s="111"/>
      <c r="C2" s="115" t="s">
        <v>689</v>
      </c>
      <c r="D2" s="475"/>
    </row>
    <row r="3" spans="1:4" ht="26.25" customHeight="1" thickBot="1" x14ac:dyDescent="0.3">
      <c r="A3" s="127" t="s">
        <v>29</v>
      </c>
      <c r="B3" s="128" t="s">
        <v>203</v>
      </c>
      <c r="C3" s="129" t="s">
        <v>729</v>
      </c>
    </row>
    <row r="4" spans="1:4" ht="15.75" thickBot="1" x14ac:dyDescent="0.3">
      <c r="A4" s="476">
        <v>1</v>
      </c>
      <c r="B4" s="480">
        <v>2</v>
      </c>
      <c r="C4" s="481">
        <v>3</v>
      </c>
    </row>
    <row r="5" spans="1:4" x14ac:dyDescent="0.25">
      <c r="A5" s="133" t="s">
        <v>31</v>
      </c>
      <c r="B5" s="482" t="s">
        <v>652</v>
      </c>
      <c r="C5" s="1005">
        <f>308654000</f>
        <v>308654000</v>
      </c>
    </row>
    <row r="6" spans="1:4" ht="24.75" x14ac:dyDescent="0.25">
      <c r="A6" s="134" t="s">
        <v>32</v>
      </c>
      <c r="B6" s="477" t="s">
        <v>690</v>
      </c>
      <c r="C6" s="847">
        <v>430000</v>
      </c>
    </row>
    <row r="7" spans="1:4" ht="36.75" x14ac:dyDescent="0.25">
      <c r="A7" s="134" t="s">
        <v>33</v>
      </c>
      <c r="B7" s="477" t="s">
        <v>691</v>
      </c>
      <c r="C7" s="847">
        <f>13910169+100000+1198440+39475880</f>
        <v>54684489</v>
      </c>
    </row>
    <row r="8" spans="1:4" x14ac:dyDescent="0.25">
      <c r="A8" s="134" t="s">
        <v>34</v>
      </c>
      <c r="B8" s="478" t="s">
        <v>446</v>
      </c>
      <c r="C8" s="847"/>
    </row>
    <row r="9" spans="1:4" ht="24.75" x14ac:dyDescent="0.25">
      <c r="A9" s="134" t="s">
        <v>35</v>
      </c>
      <c r="B9" s="478" t="s">
        <v>258</v>
      </c>
      <c r="C9" s="847">
        <f>30332500</f>
        <v>30332500</v>
      </c>
    </row>
    <row r="10" spans="1:4" x14ac:dyDescent="0.25">
      <c r="A10" s="134" t="s">
        <v>36</v>
      </c>
      <c r="B10" s="478" t="s">
        <v>257</v>
      </c>
      <c r="C10" s="848">
        <f>4504000+11500000</f>
        <v>16004000</v>
      </c>
    </row>
    <row r="11" spans="1:4" ht="15.75" thickBot="1" x14ac:dyDescent="0.3">
      <c r="A11" s="483" t="s">
        <v>37</v>
      </c>
      <c r="B11" s="479" t="s">
        <v>653</v>
      </c>
      <c r="C11" s="849"/>
    </row>
    <row r="12" spans="1:4" ht="15.75" thickBot="1" x14ac:dyDescent="0.3">
      <c r="A12" s="1190" t="s">
        <v>206</v>
      </c>
      <c r="B12" s="1191"/>
      <c r="C12" s="850">
        <f>SUM(C5:C11)</f>
        <v>410104989</v>
      </c>
    </row>
    <row r="13" spans="1:4" ht="23.25" customHeight="1" x14ac:dyDescent="0.25">
      <c r="A13" s="1192" t="s">
        <v>233</v>
      </c>
      <c r="B13" s="1192"/>
      <c r="C13" s="1192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4. melléklet a ../.......(.....)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view="pageLayout" topLeftCell="A10" zoomScaleNormal="120" workbookViewId="0">
      <selection activeCell="C10" sqref="C10"/>
    </sheetView>
  </sheetViews>
  <sheetFormatPr defaultRowHeight="15" x14ac:dyDescent="0.25"/>
  <cols>
    <col min="1" max="1" width="5.6640625" style="110" customWidth="1"/>
    <col min="2" max="2" width="66.83203125" style="110" customWidth="1"/>
    <col min="3" max="3" width="27" style="110" customWidth="1"/>
    <col min="4" max="16384" width="9.33203125" style="110"/>
  </cols>
  <sheetData>
    <row r="1" spans="1:4" ht="33" customHeight="1" x14ac:dyDescent="0.25">
      <c r="A1" s="1181" t="s">
        <v>732</v>
      </c>
      <c r="B1" s="1181"/>
      <c r="C1" s="1181"/>
    </row>
    <row r="2" spans="1:4" ht="15.95" customHeight="1" thickBot="1" x14ac:dyDescent="0.3">
      <c r="A2" s="111"/>
      <c r="B2" s="111"/>
      <c r="C2" s="115" t="s">
        <v>689</v>
      </c>
      <c r="D2" s="114"/>
    </row>
    <row r="3" spans="1:4" ht="26.25" customHeight="1" thickBot="1" x14ac:dyDescent="0.3">
      <c r="A3" s="127" t="s">
        <v>29</v>
      </c>
      <c r="B3" s="128" t="s">
        <v>207</v>
      </c>
      <c r="C3" s="129" t="s">
        <v>231</v>
      </c>
    </row>
    <row r="4" spans="1:4" ht="15.75" thickBot="1" x14ac:dyDescent="0.3">
      <c r="A4" s="130">
        <v>1</v>
      </c>
      <c r="B4" s="131">
        <v>2</v>
      </c>
      <c r="C4" s="132">
        <v>3</v>
      </c>
    </row>
    <row r="5" spans="1:4" ht="15.75" thickBot="1" x14ac:dyDescent="0.3">
      <c r="A5" s="133" t="s">
        <v>31</v>
      </c>
      <c r="B5" s="484" t="s">
        <v>876</v>
      </c>
      <c r="C5" s="559">
        <v>34227974</v>
      </c>
    </row>
    <row r="6" spans="1:4" ht="15.75" thickBot="1" x14ac:dyDescent="0.3">
      <c r="A6" s="134" t="s">
        <v>32</v>
      </c>
      <c r="B6" s="484" t="s">
        <v>875</v>
      </c>
      <c r="C6" s="560">
        <v>9221949</v>
      </c>
    </row>
    <row r="7" spans="1:4" x14ac:dyDescent="0.25">
      <c r="A7" s="135" t="s">
        <v>33</v>
      </c>
      <c r="B7" s="484" t="s">
        <v>877</v>
      </c>
      <c r="C7" s="1058">
        <v>22202197</v>
      </c>
    </row>
    <row r="8" spans="1:4" x14ac:dyDescent="0.25">
      <c r="A8" s="135" t="s">
        <v>34</v>
      </c>
      <c r="B8" s="1057" t="s">
        <v>878</v>
      </c>
      <c r="C8" s="1058">
        <v>3201452</v>
      </c>
    </row>
    <row r="9" spans="1:4" x14ac:dyDescent="0.25">
      <c r="A9" s="135" t="s">
        <v>35</v>
      </c>
      <c r="B9" s="1057" t="s">
        <v>879</v>
      </c>
      <c r="C9" s="1058">
        <v>5819140</v>
      </c>
    </row>
    <row r="10" spans="1:4" x14ac:dyDescent="0.25">
      <c r="A10" s="135" t="s">
        <v>36</v>
      </c>
      <c r="B10" s="1057" t="s">
        <v>880</v>
      </c>
      <c r="C10" s="1058">
        <v>3725750</v>
      </c>
    </row>
    <row r="11" spans="1:4" x14ac:dyDescent="0.25">
      <c r="A11" s="135" t="s">
        <v>37</v>
      </c>
      <c r="B11" s="1057" t="s">
        <v>881</v>
      </c>
      <c r="C11" s="1058">
        <v>5080000</v>
      </c>
    </row>
    <row r="12" spans="1:4" ht="15.75" thickBot="1" x14ac:dyDescent="0.3">
      <c r="A12" s="135" t="s">
        <v>38</v>
      </c>
      <c r="B12" s="136" t="s">
        <v>882</v>
      </c>
      <c r="C12" s="1058">
        <v>10000000</v>
      </c>
    </row>
    <row r="13" spans="1:4" s="359" customFormat="1" ht="17.25" customHeight="1" thickBot="1" x14ac:dyDescent="0.25">
      <c r="A13" s="360" t="s">
        <v>39</v>
      </c>
      <c r="B13" s="100" t="s">
        <v>208</v>
      </c>
      <c r="C13" s="1059">
        <f>SUM(C5:C12)</f>
        <v>93478462</v>
      </c>
    </row>
  </sheetData>
  <mergeCells count="1">
    <mergeCell ref="A1:C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5. melléklet a ../.....(......)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48</vt:i4>
      </vt:variant>
      <vt:variant>
        <vt:lpstr>Névvel ellátott tartományok</vt:lpstr>
      </vt:variant>
      <vt:variant>
        <vt:i4>26</vt:i4>
      </vt:variant>
    </vt:vector>
  </HeadingPairs>
  <TitlesOfParts>
    <vt:vector size="74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 </vt:lpstr>
      <vt:lpstr>8.1. sz. mell.</vt:lpstr>
      <vt:lpstr>8.2. sz. mell.</vt:lpstr>
      <vt:lpstr>8.3.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t.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2018-02-09T10:27:07Z</cp:lastPrinted>
  <dcterms:created xsi:type="dcterms:W3CDTF">1999-10-30T10:30:45Z</dcterms:created>
  <dcterms:modified xsi:type="dcterms:W3CDTF">2018-02-09T10:27:17Z</dcterms:modified>
</cp:coreProperties>
</file>